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Egger\AppData\Local\Microsoft\Windows\INetCache\Content.Outlook\RL5BUF72\"/>
    </mc:Choice>
  </mc:AlternateContent>
  <xr:revisionPtr revIDLastSave="0" documentId="13_ncr:1_{29967DE7-BFC7-420F-A7A7-ED4BFC20C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riables" sheetId="2" r:id="rId1"/>
    <sheet name="Résultats-ergebnis" sheetId="8" r:id="rId2"/>
    <sheet name="Calculateur" sheetId="1" r:id="rId3"/>
    <sheet name="Pressage" sheetId="3" state="hidden" r:id="rId4"/>
    <sheet name="Pasteurisation" sheetId="4" state="hidden" r:id="rId5"/>
    <sheet name="Conditionnement" sheetId="5" state="hidden" r:id="rId6"/>
    <sheet name="Vente" sheetId="6" state="hidden" r:id="rId7"/>
    <sheet name="Feuil1" sheetId="7" state="hidden" r:id="rId8"/>
  </sheets>
  <externalReferences>
    <externalReference r:id="rId9"/>
  </externalReferences>
  <definedNames>
    <definedName name="_xlnm.Print_Area" localSheetId="2">Calculateur!$A$1:$J$126</definedName>
    <definedName name="_xlnm.Print_Area" localSheetId="1">'Résultats-ergebnis'!$A$1:$I$30</definedName>
    <definedName name="_xlnm.Print_Area" localSheetId="0">Variables!$A$1:$E$71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7" l="1"/>
  <c r="C20" i="7"/>
  <c r="C21" i="7"/>
  <c r="C22" i="7"/>
  <c r="C1" i="7"/>
  <c r="C2" i="7"/>
  <c r="C3" i="7"/>
  <c r="C4" i="7"/>
  <c r="C7" i="7"/>
  <c r="C8" i="7"/>
  <c r="C13" i="7"/>
  <c r="C14" i="7"/>
  <c r="C15" i="7"/>
  <c r="C12" i="7"/>
  <c r="A78" i="1"/>
  <c r="AE30" i="7"/>
  <c r="A30" i="1" s="1"/>
  <c r="AH37" i="7"/>
  <c r="D37" i="1" s="1"/>
  <c r="AF116" i="7"/>
  <c r="AH116" i="7"/>
  <c r="D116" i="1" s="1"/>
  <c r="AE3" i="7"/>
  <c r="A3" i="1" s="1"/>
  <c r="AE4" i="7"/>
  <c r="A4" i="1" s="1"/>
  <c r="AH4" i="7"/>
  <c r="D4" i="1" s="1"/>
  <c r="AE5" i="7"/>
  <c r="A5" i="1" s="1"/>
  <c r="AH5" i="7"/>
  <c r="D5" i="1" s="1"/>
  <c r="AH6" i="7"/>
  <c r="D6" i="1" s="1"/>
  <c r="AI6" i="7"/>
  <c r="E6" i="1" s="1"/>
  <c r="AE7" i="7"/>
  <c r="A7" i="1" s="1"/>
  <c r="AE8" i="7"/>
  <c r="A8" i="1" s="1"/>
  <c r="AE9" i="7"/>
  <c r="A9" i="1" s="1"/>
  <c r="AE10" i="7"/>
  <c r="A10" i="1" s="1"/>
  <c r="AE15" i="7"/>
  <c r="A15" i="1" s="1"/>
  <c r="AE16" i="7"/>
  <c r="A16" i="1" s="1"/>
  <c r="AE17" i="7"/>
  <c r="A17" i="1" s="1"/>
  <c r="AH17" i="7"/>
  <c r="AE18" i="7"/>
  <c r="A18" i="1" s="1"/>
  <c r="AH18" i="7"/>
  <c r="AE19" i="7"/>
  <c r="AE20" i="7"/>
  <c r="A20" i="1" s="1"/>
  <c r="AE21" i="7"/>
  <c r="AF21" i="7"/>
  <c r="B21" i="1" s="1"/>
  <c r="AE23" i="7"/>
  <c r="A23" i="1" s="1"/>
  <c r="AE24" i="7"/>
  <c r="AF24" i="7"/>
  <c r="B24" i="1" s="1"/>
  <c r="AH24" i="7"/>
  <c r="AE26" i="7"/>
  <c r="A26" i="1" s="1"/>
  <c r="AE27" i="7"/>
  <c r="A27" i="1" s="1"/>
  <c r="AE31" i="7"/>
  <c r="A31" i="1" s="1"/>
  <c r="AG31" i="7"/>
  <c r="C31" i="1" s="1"/>
  <c r="AH31" i="7"/>
  <c r="AE34" i="7"/>
  <c r="A34" i="1" s="1"/>
  <c r="AG34" i="7"/>
  <c r="AH34" i="7"/>
  <c r="AG35" i="7"/>
  <c r="AE37" i="7"/>
  <c r="A37" i="1" s="1"/>
  <c r="AF37" i="7"/>
  <c r="B37" i="1" s="1"/>
  <c r="AE40" i="7"/>
  <c r="A40" i="1" s="1"/>
  <c r="AG40" i="7"/>
  <c r="AH40" i="7"/>
  <c r="D40" i="1" s="1"/>
  <c r="AE42" i="7"/>
  <c r="A42" i="1" s="1"/>
  <c r="AF42" i="7"/>
  <c r="B42" i="1" s="1"/>
  <c r="AH42" i="7"/>
  <c r="D42" i="1" s="1"/>
  <c r="AF43" i="7"/>
  <c r="B43" i="1" s="1"/>
  <c r="AH43" i="7"/>
  <c r="D43" i="1" s="1"/>
  <c r="AE46" i="7"/>
  <c r="A46" i="1" s="1"/>
  <c r="AE47" i="7"/>
  <c r="A47" i="1" s="1"/>
  <c r="AE49" i="7"/>
  <c r="A49" i="1" s="1"/>
  <c r="AE50" i="7"/>
  <c r="A50" i="1" s="1"/>
  <c r="AE53" i="7"/>
  <c r="A53" i="1" s="1"/>
  <c r="AG53" i="7"/>
  <c r="AH53" i="7"/>
  <c r="D53" i="1" s="1"/>
  <c r="AE55" i="7"/>
  <c r="A55" i="1" s="1"/>
  <c r="AE56" i="7"/>
  <c r="A56" i="1" s="1"/>
  <c r="AE58" i="7"/>
  <c r="A58" i="1" s="1"/>
  <c r="AE59" i="7"/>
  <c r="A59" i="1" s="1"/>
  <c r="AE60" i="7"/>
  <c r="A60" i="1" s="1"/>
  <c r="AH60" i="7"/>
  <c r="AE62" i="7"/>
  <c r="AF63" i="7"/>
  <c r="B63" i="1" s="1"/>
  <c r="AH63" i="7"/>
  <c r="AE66" i="7"/>
  <c r="A62" i="1" s="1"/>
  <c r="AE67" i="7"/>
  <c r="A67" i="1" s="1"/>
  <c r="AE69" i="7"/>
  <c r="A69" i="1" s="1"/>
  <c r="AE70" i="7"/>
  <c r="A70" i="1" s="1"/>
  <c r="AG70" i="7"/>
  <c r="AI70" i="7"/>
  <c r="AE71" i="7"/>
  <c r="A71" i="1" s="1"/>
  <c r="AH71" i="7"/>
  <c r="AE72" i="7"/>
  <c r="A72" i="1" s="1"/>
  <c r="AH72" i="7"/>
  <c r="AE73" i="7"/>
  <c r="A73" i="1" s="1"/>
  <c r="AH73" i="7"/>
  <c r="AG74" i="7"/>
  <c r="AE75" i="7"/>
  <c r="A75" i="1" s="1"/>
  <c r="AF75" i="7"/>
  <c r="B75" i="1" s="1"/>
  <c r="AH75" i="7"/>
  <c r="D75" i="1" s="1"/>
  <c r="AE78" i="7"/>
  <c r="AG78" i="7"/>
  <c r="AH78" i="7"/>
  <c r="AE80" i="7"/>
  <c r="A80" i="1" s="1"/>
  <c r="AF80" i="7"/>
  <c r="B80" i="1" s="1"/>
  <c r="AG80" i="7"/>
  <c r="C80" i="1" s="1"/>
  <c r="AE81" i="7"/>
  <c r="A81" i="1" s="1"/>
  <c r="AH81" i="7"/>
  <c r="D81" i="1" s="1"/>
  <c r="AI81" i="7"/>
  <c r="AF83" i="7"/>
  <c r="B83" i="1" s="1"/>
  <c r="AE84" i="7"/>
  <c r="A84" i="1" s="1"/>
  <c r="AF84" i="7"/>
  <c r="AG84" i="7"/>
  <c r="C84" i="1" s="1"/>
  <c r="AE87" i="7"/>
  <c r="A87" i="1" s="1"/>
  <c r="AE88" i="7"/>
  <c r="A88" i="1" s="1"/>
  <c r="AE90" i="7"/>
  <c r="A90" i="1" s="1"/>
  <c r="AE91" i="7"/>
  <c r="A91" i="1" s="1"/>
  <c r="AE93" i="7"/>
  <c r="A93" i="1" s="1"/>
  <c r="AE96" i="7"/>
  <c r="A96" i="1" s="1"/>
  <c r="AH97" i="7"/>
  <c r="D97" i="1" s="1"/>
  <c r="AE99" i="7"/>
  <c r="A99" i="1" s="1"/>
  <c r="AH99" i="7"/>
  <c r="D99" i="1" s="1"/>
  <c r="AE102" i="7"/>
  <c r="A102" i="1" s="1"/>
  <c r="AE103" i="7"/>
  <c r="A103" i="1" s="1"/>
  <c r="AH103" i="7"/>
  <c r="D103" i="1" s="1"/>
  <c r="AE105" i="7"/>
  <c r="A105" i="1" s="1"/>
  <c r="AI105" i="7"/>
  <c r="AH106" i="7"/>
  <c r="D106" i="1" s="1"/>
  <c r="AE108" i="7"/>
  <c r="A108" i="1" s="1"/>
  <c r="AE109" i="7"/>
  <c r="A109" i="1" s="1"/>
  <c r="AE111" i="7"/>
  <c r="AH112" i="7"/>
  <c r="D112" i="1" s="1"/>
  <c r="AH113" i="7"/>
  <c r="D113" i="1" s="1"/>
  <c r="AH114" i="7"/>
  <c r="D114" i="1" s="1"/>
  <c r="AF115" i="7"/>
  <c r="B115" i="1" s="1"/>
  <c r="AH115" i="7"/>
  <c r="D115" i="1" s="1"/>
  <c r="AE1" i="7"/>
  <c r="A1" i="1" s="1"/>
  <c r="AC108" i="7"/>
  <c r="AB108" i="7"/>
  <c r="AB105" i="7"/>
  <c r="AC99" i="7"/>
  <c r="AA99" i="7"/>
  <c r="AC85" i="7"/>
  <c r="AA85" i="7"/>
  <c r="AA82" i="7"/>
  <c r="AC81" i="7"/>
  <c r="Z81" i="7"/>
  <c r="AA81" i="7" s="1"/>
  <c r="AA76" i="7"/>
  <c r="AC75" i="7"/>
  <c r="AA73" i="7"/>
  <c r="AA72" i="7"/>
  <c r="AA71" i="7"/>
  <c r="Z70" i="7"/>
  <c r="AB70" i="7" s="1"/>
  <c r="AA60" i="7"/>
  <c r="AA55" i="7"/>
  <c r="AA75" i="7" s="1"/>
  <c r="AA44" i="7"/>
  <c r="AA42" i="7"/>
  <c r="AA38" i="7"/>
  <c r="AC34" i="7"/>
  <c r="AA32" i="7"/>
  <c r="AC31" i="7"/>
  <c r="AA24" i="7"/>
  <c r="AB21" i="7"/>
  <c r="AA18" i="7"/>
  <c r="AA17" i="7"/>
  <c r="Y11" i="7"/>
  <c r="Z9" i="7"/>
  <c r="Z8" i="7"/>
  <c r="AA37" i="7" s="1"/>
  <c r="AC37" i="7" s="1"/>
  <c r="W108" i="7"/>
  <c r="AI108" i="7" s="1"/>
  <c r="V108" i="7"/>
  <c r="V105" i="7"/>
  <c r="W99" i="7"/>
  <c r="U99" i="7"/>
  <c r="W85" i="7"/>
  <c r="U85" i="7"/>
  <c r="U82" i="7"/>
  <c r="W81" i="7"/>
  <c r="T81" i="7"/>
  <c r="U81" i="7" s="1"/>
  <c r="U76" i="7"/>
  <c r="W75" i="7"/>
  <c r="U73" i="7"/>
  <c r="AG73" i="7" s="1"/>
  <c r="U72" i="7"/>
  <c r="AG72" i="7" s="1"/>
  <c r="U71" i="7"/>
  <c r="AG71" i="7" s="1"/>
  <c r="T70" i="7"/>
  <c r="V70" i="7" s="1"/>
  <c r="AH70" i="7" s="1"/>
  <c r="U60" i="7"/>
  <c r="U55" i="7"/>
  <c r="U75" i="7" s="1"/>
  <c r="AG75" i="7" s="1"/>
  <c r="U44" i="7"/>
  <c r="U42" i="7"/>
  <c r="U43" i="7" s="1"/>
  <c r="W44" i="7" s="1"/>
  <c r="U38" i="7"/>
  <c r="W34" i="7"/>
  <c r="U32" i="7"/>
  <c r="W31" i="7"/>
  <c r="U24" i="7"/>
  <c r="V21" i="7"/>
  <c r="U18" i="7"/>
  <c r="U17" i="7"/>
  <c r="S11" i="7"/>
  <c r="T9" i="7"/>
  <c r="T8" i="7"/>
  <c r="U37" i="7" s="1"/>
  <c r="W37" i="7" s="1"/>
  <c r="AI37" i="7" s="1"/>
  <c r="P5" i="7"/>
  <c r="P9" i="7"/>
  <c r="P10" i="7"/>
  <c r="P11" i="7"/>
  <c r="P12" i="7"/>
  <c r="C11" i="2" s="1"/>
  <c r="P13" i="7"/>
  <c r="P14" i="7"/>
  <c r="P15" i="7"/>
  <c r="P16" i="7"/>
  <c r="C15" i="2" s="1"/>
  <c r="P17" i="7"/>
  <c r="C16" i="2" s="1"/>
  <c r="P18" i="7"/>
  <c r="P19" i="7"/>
  <c r="C18" i="2" s="1"/>
  <c r="P20" i="7"/>
  <c r="C19" i="2" s="1"/>
  <c r="P21" i="7"/>
  <c r="C20" i="2" s="1"/>
  <c r="P22" i="7"/>
  <c r="C21" i="2" s="1"/>
  <c r="P23" i="7"/>
  <c r="C22" i="2" s="1"/>
  <c r="P24" i="7"/>
  <c r="P25" i="7"/>
  <c r="C24" i="2" s="1"/>
  <c r="P26" i="7"/>
  <c r="P27" i="7"/>
  <c r="P28" i="7"/>
  <c r="C27" i="2" s="1"/>
  <c r="P29" i="7"/>
  <c r="C28" i="2" s="1"/>
  <c r="P30" i="7"/>
  <c r="P31" i="7"/>
  <c r="P32" i="7"/>
  <c r="C31" i="2" s="1"/>
  <c r="P33" i="7"/>
  <c r="C32" i="2" s="1"/>
  <c r="P34" i="7"/>
  <c r="C33" i="2" s="1"/>
  <c r="P35" i="7"/>
  <c r="C34" i="2" s="1"/>
  <c r="P36" i="7"/>
  <c r="C35" i="2" s="1"/>
  <c r="P37" i="7"/>
  <c r="C36" i="2" s="1"/>
  <c r="P38" i="7"/>
  <c r="C37" i="2" s="1"/>
  <c r="P39" i="7"/>
  <c r="C38" i="2" s="1"/>
  <c r="P40" i="7"/>
  <c r="C39" i="2" s="1"/>
  <c r="P41" i="7"/>
  <c r="P42" i="7"/>
  <c r="C41" i="2" s="1"/>
  <c r="P43" i="7"/>
  <c r="P44" i="7"/>
  <c r="C43" i="2" s="1"/>
  <c r="P45" i="7"/>
  <c r="P46" i="7"/>
  <c r="C45" i="2" s="1"/>
  <c r="P47" i="7"/>
  <c r="P48" i="7"/>
  <c r="C47" i="2" s="1"/>
  <c r="P49" i="7"/>
  <c r="C48" i="2" s="1"/>
  <c r="P50" i="7"/>
  <c r="C49" i="2" s="1"/>
  <c r="P51" i="7"/>
  <c r="C50" i="2" s="1"/>
  <c r="P52" i="7"/>
  <c r="P53" i="7"/>
  <c r="P54" i="7"/>
  <c r="P55" i="7"/>
  <c r="C54" i="2" s="1"/>
  <c r="P56" i="7"/>
  <c r="P57" i="7"/>
  <c r="D5" i="2" s="1"/>
  <c r="P58" i="7"/>
  <c r="P59" i="7"/>
  <c r="P60" i="7"/>
  <c r="C59" i="2" s="1"/>
  <c r="P61" i="7"/>
  <c r="P62" i="7"/>
  <c r="P63" i="7"/>
  <c r="C63" i="2" s="1"/>
  <c r="P64" i="7"/>
  <c r="P65" i="7"/>
  <c r="P66" i="7"/>
  <c r="P67" i="7"/>
  <c r="P3" i="7"/>
  <c r="C3" i="2" s="1"/>
  <c r="O68" i="7"/>
  <c r="O69" i="7"/>
  <c r="O70" i="7"/>
  <c r="O71" i="7"/>
  <c r="O72" i="7"/>
  <c r="O73" i="7"/>
  <c r="O74" i="7"/>
  <c r="O75" i="7"/>
  <c r="A1" i="8" s="1"/>
  <c r="O76" i="7"/>
  <c r="A2" i="8" s="1"/>
  <c r="O77" i="7"/>
  <c r="A3" i="8" s="1"/>
  <c r="O78" i="7"/>
  <c r="A4" i="8" s="1"/>
  <c r="O79" i="7"/>
  <c r="A5" i="8" s="1"/>
  <c r="O80" i="7"/>
  <c r="A6" i="8" s="1"/>
  <c r="O81" i="7"/>
  <c r="A7" i="8" s="1"/>
  <c r="O82" i="7"/>
  <c r="O83" i="7"/>
  <c r="O84" i="7"/>
  <c r="O85" i="7"/>
  <c r="O86" i="7"/>
  <c r="O87" i="7"/>
  <c r="O88" i="7"/>
  <c r="A14" i="8" s="1"/>
  <c r="O89" i="7"/>
  <c r="O90" i="7"/>
  <c r="A16" i="8" s="1"/>
  <c r="O91" i="7"/>
  <c r="O92" i="7"/>
  <c r="A18" i="8" s="1"/>
  <c r="O93" i="7"/>
  <c r="A19" i="8" s="1"/>
  <c r="O94" i="7"/>
  <c r="A20" i="8" s="1"/>
  <c r="O95" i="7"/>
  <c r="A21" i="8" s="1"/>
  <c r="O96" i="7"/>
  <c r="A22" i="8" s="1"/>
  <c r="O97" i="7"/>
  <c r="A23" i="8" s="1"/>
  <c r="O98" i="7"/>
  <c r="O99" i="7"/>
  <c r="A25" i="8" s="1"/>
  <c r="O100" i="7"/>
  <c r="A26" i="8" s="1"/>
  <c r="O101" i="7"/>
  <c r="O102" i="7"/>
  <c r="A28" i="8" s="1"/>
  <c r="O103" i="7"/>
  <c r="O104" i="7"/>
  <c r="O105" i="7"/>
  <c r="O106" i="7"/>
  <c r="O107" i="7"/>
  <c r="C4" i="2"/>
  <c r="O4" i="7"/>
  <c r="A4" i="2" s="1"/>
  <c r="B63" i="2"/>
  <c r="O5" i="7"/>
  <c r="O6" i="7"/>
  <c r="A6" i="2" s="1"/>
  <c r="O7" i="7"/>
  <c r="O8" i="7"/>
  <c r="O9" i="7"/>
  <c r="O10" i="7"/>
  <c r="A9" i="2" s="1"/>
  <c r="O11" i="7"/>
  <c r="O12" i="7"/>
  <c r="A11" i="2" s="1"/>
  <c r="O13" i="7"/>
  <c r="O14" i="7"/>
  <c r="A13" i="2" s="1"/>
  <c r="O15" i="7"/>
  <c r="O16" i="7"/>
  <c r="A15" i="2" s="1"/>
  <c r="O17" i="7"/>
  <c r="A16" i="2" s="1"/>
  <c r="O18" i="7"/>
  <c r="O19" i="7"/>
  <c r="A18" i="2" s="1"/>
  <c r="O20" i="7"/>
  <c r="A19" i="2" s="1"/>
  <c r="O21" i="7"/>
  <c r="A20" i="2" s="1"/>
  <c r="O22" i="7"/>
  <c r="A21" i="2" s="1"/>
  <c r="O23" i="7"/>
  <c r="A22" i="2" s="1"/>
  <c r="O24" i="7"/>
  <c r="O25" i="7"/>
  <c r="A24" i="2" s="1"/>
  <c r="O26" i="7"/>
  <c r="O27" i="7"/>
  <c r="A26" i="2" s="1"/>
  <c r="O28" i="7"/>
  <c r="A27" i="2" s="1"/>
  <c r="O29" i="7"/>
  <c r="A28" i="2" s="1"/>
  <c r="O30" i="7"/>
  <c r="O31" i="7"/>
  <c r="A30" i="2" s="1"/>
  <c r="O32" i="7"/>
  <c r="A31" i="2" s="1"/>
  <c r="O33" i="7"/>
  <c r="A32" i="2" s="1"/>
  <c r="O34" i="7"/>
  <c r="A33" i="2" s="1"/>
  <c r="O35" i="7"/>
  <c r="A34" i="2" s="1"/>
  <c r="O36" i="7"/>
  <c r="A35" i="2" s="1"/>
  <c r="O37" i="7"/>
  <c r="A36" i="2" s="1"/>
  <c r="O38" i="7"/>
  <c r="A37" i="2" s="1"/>
  <c r="O39" i="7"/>
  <c r="A38" i="2" s="1"/>
  <c r="O40" i="7"/>
  <c r="A39" i="2" s="1"/>
  <c r="A11" i="1" s="1"/>
  <c r="O41" i="7"/>
  <c r="O42" i="7"/>
  <c r="A41" i="2" s="1"/>
  <c r="O43" i="7"/>
  <c r="O44" i="7"/>
  <c r="A43" i="2" s="1"/>
  <c r="O45" i="7"/>
  <c r="O46" i="7"/>
  <c r="A45" i="2" s="1"/>
  <c r="O47" i="7"/>
  <c r="O48" i="7"/>
  <c r="A47" i="2" s="1"/>
  <c r="O49" i="7"/>
  <c r="A48" i="2" s="1"/>
  <c r="O50" i="7"/>
  <c r="A49" i="2" s="1"/>
  <c r="O51" i="7"/>
  <c r="A50" i="2" s="1"/>
  <c r="O52" i="7"/>
  <c r="O53" i="7"/>
  <c r="A52" i="2" s="1"/>
  <c r="O54" i="7"/>
  <c r="O55" i="7"/>
  <c r="A54" i="2" s="1"/>
  <c r="O56" i="7"/>
  <c r="O57" i="7"/>
  <c r="A56" i="2" s="1"/>
  <c r="O58" i="7"/>
  <c r="O59" i="7"/>
  <c r="A58" i="2" s="1"/>
  <c r="O60" i="7"/>
  <c r="A59" i="2" s="1"/>
  <c r="O61" i="7"/>
  <c r="O62" i="7"/>
  <c r="A61" i="2" s="1"/>
  <c r="O63" i="7"/>
  <c r="A63" i="2" s="1"/>
  <c r="O64" i="7"/>
  <c r="O65" i="7"/>
  <c r="A65" i="2" s="1"/>
  <c r="O66" i="7"/>
  <c r="O67" i="7"/>
  <c r="A67" i="2" s="1"/>
  <c r="O3" i="7"/>
  <c r="A3" i="2" s="1"/>
  <c r="N7" i="7"/>
  <c r="N5" i="7"/>
  <c r="N4" i="7"/>
  <c r="K8" i="7"/>
  <c r="P8" i="7" s="1"/>
  <c r="K6" i="7"/>
  <c r="P6" i="7" s="1"/>
  <c r="K4" i="7"/>
  <c r="P4" i="7" s="1"/>
  <c r="AG81" i="7" l="1"/>
  <c r="AA43" i="7"/>
  <c r="AC44" i="7" s="1"/>
  <c r="AC115" i="7" s="1"/>
  <c r="AF70" i="7"/>
  <c r="AG42" i="7"/>
  <c r="AG37" i="7"/>
  <c r="A66" i="1"/>
  <c r="C56" i="2"/>
  <c r="W115" i="7"/>
  <c r="K7" i="7"/>
  <c r="P7" i="7" s="1"/>
  <c r="N6" i="7"/>
  <c r="AI44" i="7" l="1"/>
  <c r="AI115" i="7"/>
  <c r="AG43" i="7"/>
  <c r="N119" i="8"/>
  <c r="B70" i="1"/>
  <c r="C60" i="1" l="1"/>
  <c r="J60" i="1" s="1"/>
  <c r="C9" i="8"/>
  <c r="C30" i="8"/>
  <c r="D25" i="8"/>
  <c r="N37" i="8"/>
  <c r="N36" i="8"/>
  <c r="N53" i="8"/>
  <c r="B11" i="8"/>
  <c r="D11" i="8" s="1"/>
  <c r="F11" i="8" s="1"/>
  <c r="C5" i="2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73" i="8"/>
  <c r="N74" i="8"/>
  <c r="N75" i="8"/>
  <c r="N76" i="8"/>
  <c r="N77" i="8"/>
  <c r="N78" i="8"/>
  <c r="N67" i="8"/>
  <c r="N68" i="8"/>
  <c r="N69" i="8"/>
  <c r="N70" i="8"/>
  <c r="N71" i="8"/>
  <c r="N72" i="8"/>
  <c r="N64" i="8"/>
  <c r="N65" i="8"/>
  <c r="N66" i="8"/>
  <c r="D108" i="1"/>
  <c r="F5" i="1"/>
  <c r="F4" i="1"/>
  <c r="B36" i="8"/>
  <c r="G36" i="8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B37" i="8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4" i="8"/>
  <c r="N55" i="8"/>
  <c r="N56" i="8"/>
  <c r="N57" i="8"/>
  <c r="N58" i="8"/>
  <c r="N59" i="8"/>
  <c r="N60" i="8"/>
  <c r="N61" i="8"/>
  <c r="N62" i="8"/>
  <c r="N63" i="8"/>
  <c r="B24" i="2"/>
  <c r="F53" i="1" s="1"/>
  <c r="D9" i="8"/>
  <c r="D30" i="8"/>
  <c r="D105" i="1"/>
  <c r="F106" i="1" s="1"/>
  <c r="D19" i="8" a="1"/>
  <c r="D19" i="8" s="1"/>
  <c r="C19" i="8" a="1"/>
  <c r="C19" i="8" s="1"/>
  <c r="B81" i="1"/>
  <c r="C81" i="1" s="1"/>
  <c r="C99" i="1"/>
  <c r="I99" i="1" s="1"/>
  <c r="C85" i="1"/>
  <c r="C82" i="1"/>
  <c r="C76" i="1"/>
  <c r="C73" i="1"/>
  <c r="C71" i="1"/>
  <c r="C72" i="1"/>
  <c r="F55" i="1"/>
  <c r="C55" i="1"/>
  <c r="C75" i="1" s="1"/>
  <c r="C44" i="1"/>
  <c r="C38" i="1"/>
  <c r="I38" i="1" s="1"/>
  <c r="C24" i="1"/>
  <c r="F24" i="1" s="1"/>
  <c r="C32" i="1"/>
  <c r="G32" i="1" s="1"/>
  <c r="D21" i="1"/>
  <c r="G21" i="1" s="1"/>
  <c r="C18" i="1"/>
  <c r="J18" i="1" s="1"/>
  <c r="C17" i="1"/>
  <c r="J17" i="1" s="1"/>
  <c r="F11" i="1"/>
  <c r="F10" i="1"/>
  <c r="F56" i="1" s="1"/>
  <c r="F9" i="1"/>
  <c r="F8" i="1"/>
  <c r="B9" i="1"/>
  <c r="B8" i="1"/>
  <c r="C37" i="1" s="1"/>
  <c r="B47" i="2"/>
  <c r="G34" i="1"/>
  <c r="G35" i="1" s="1"/>
  <c r="H34" i="1"/>
  <c r="H35" i="1" s="1"/>
  <c r="I34" i="1"/>
  <c r="I35" i="1" s="1"/>
  <c r="J34" i="1"/>
  <c r="J35" i="1" s="1"/>
  <c r="E120" i="3"/>
  <c r="E113" i="3"/>
  <c r="E107" i="3"/>
  <c r="E87" i="3"/>
  <c r="E73" i="3"/>
  <c r="E70" i="3"/>
  <c r="E67" i="3"/>
  <c r="E66" i="3"/>
  <c r="E55" i="3"/>
  <c r="E90" i="3"/>
  <c r="E95" i="3"/>
  <c r="E44" i="3"/>
  <c r="E46" i="3"/>
  <c r="E42" i="3"/>
  <c r="E38" i="3"/>
  <c r="E40" i="3"/>
  <c r="E36" i="3"/>
  <c r="E33" i="3"/>
  <c r="E25" i="3"/>
  <c r="E22" i="3"/>
  <c r="E19" i="3"/>
  <c r="E18" i="3"/>
  <c r="G53" i="1"/>
  <c r="H53" i="1"/>
  <c r="I53" i="1"/>
  <c r="J53" i="1"/>
  <c r="J24" i="1"/>
  <c r="J40" i="1"/>
  <c r="I24" i="1"/>
  <c r="I40" i="1"/>
  <c r="H24" i="1"/>
  <c r="H40" i="1"/>
  <c r="G24" i="1"/>
  <c r="G40" i="1"/>
  <c r="G63" i="1"/>
  <c r="G78" i="1"/>
  <c r="H63" i="1"/>
  <c r="H78" i="1"/>
  <c r="I63" i="1"/>
  <c r="I78" i="1"/>
  <c r="J63" i="1"/>
  <c r="J78" i="1"/>
  <c r="E27" i="3"/>
  <c r="E28" i="3"/>
  <c r="E48" i="3"/>
  <c r="E83" i="3"/>
  <c r="E75" i="3"/>
  <c r="E76" i="3"/>
  <c r="E97" i="3"/>
  <c r="E85" i="3"/>
  <c r="E119" i="3"/>
  <c r="E79" i="3"/>
  <c r="E80" i="3"/>
  <c r="E108" i="3"/>
  <c r="E51" i="3"/>
  <c r="E110" i="3"/>
  <c r="E99" i="3"/>
  <c r="E100" i="3"/>
  <c r="E49" i="3"/>
  <c r="E52" i="3"/>
  <c r="E111" i="3"/>
  <c r="E102" i="3"/>
  <c r="E116" i="3"/>
  <c r="E122" i="3"/>
  <c r="E103" i="3"/>
  <c r="E117" i="3"/>
  <c r="E123" i="3"/>
  <c r="E125" i="3"/>
  <c r="E127" i="3"/>
  <c r="E128" i="3"/>
  <c r="E130" i="3"/>
  <c r="E131" i="3"/>
  <c r="E133" i="3"/>
  <c r="E134" i="3"/>
  <c r="E126" i="3"/>
  <c r="F63" i="1" l="1"/>
  <c r="G60" i="1"/>
  <c r="G66" i="1" s="1"/>
  <c r="G67" i="1" s="1"/>
  <c r="F21" i="1"/>
  <c r="I60" i="1"/>
  <c r="I66" i="1" s="1"/>
  <c r="F18" i="1"/>
  <c r="H60" i="1"/>
  <c r="H66" i="1" s="1"/>
  <c r="H67" i="1" s="1"/>
  <c r="F60" i="1"/>
  <c r="F17" i="1"/>
  <c r="B60" i="8"/>
  <c r="G59" i="8"/>
  <c r="F100" i="1"/>
  <c r="F3" i="8" s="1"/>
  <c r="G3" i="8" s="1"/>
  <c r="F5" i="8"/>
  <c r="G5" i="8" s="1"/>
  <c r="F19" i="8"/>
  <c r="B23" i="8"/>
  <c r="F22" i="8"/>
  <c r="F21" i="8"/>
  <c r="F20" i="8"/>
  <c r="J38" i="1"/>
  <c r="G99" i="1"/>
  <c r="J99" i="1"/>
  <c r="H99" i="1"/>
  <c r="F6" i="1"/>
  <c r="I32" i="1"/>
  <c r="J32" i="1"/>
  <c r="F78" i="1"/>
  <c r="G17" i="1"/>
  <c r="J76" i="1"/>
  <c r="H76" i="1"/>
  <c r="H38" i="1"/>
  <c r="I18" i="1"/>
  <c r="J72" i="1"/>
  <c r="H32" i="1"/>
  <c r="F40" i="1"/>
  <c r="G76" i="1"/>
  <c r="G18" i="1"/>
  <c r="I17" i="1"/>
  <c r="H17" i="1"/>
  <c r="J82" i="1"/>
  <c r="J66" i="1"/>
  <c r="J67" i="1" s="1"/>
  <c r="G37" i="1"/>
  <c r="G38" i="1" s="1"/>
  <c r="H18" i="1"/>
  <c r="J85" i="1"/>
  <c r="I82" i="1"/>
  <c r="I85" i="1"/>
  <c r="I76" i="1"/>
  <c r="G82" i="1"/>
  <c r="G85" i="1"/>
  <c r="J21" i="1"/>
  <c r="J26" i="1" s="1"/>
  <c r="H82" i="1"/>
  <c r="I21" i="1"/>
  <c r="H85" i="1"/>
  <c r="H21" i="1"/>
  <c r="B61" i="8" l="1"/>
  <c r="G60" i="8"/>
  <c r="F23" i="8"/>
  <c r="G23" i="8" s="1"/>
  <c r="C42" i="1"/>
  <c r="F42" i="1" s="1"/>
  <c r="E34" i="1"/>
  <c r="F35" i="1" s="1"/>
  <c r="E37" i="1"/>
  <c r="F99" i="1"/>
  <c r="E99" i="1" s="1"/>
  <c r="E31" i="1"/>
  <c r="F32" i="1" s="1"/>
  <c r="G26" i="1"/>
  <c r="G27" i="1" s="1"/>
  <c r="F26" i="1"/>
  <c r="F27" i="1" s="1"/>
  <c r="F66" i="1"/>
  <c r="I26" i="1"/>
  <c r="I27" i="1" s="1"/>
  <c r="J87" i="1"/>
  <c r="J88" i="1" s="1"/>
  <c r="H26" i="1"/>
  <c r="H27" i="1" s="1"/>
  <c r="I67" i="1"/>
  <c r="J27" i="1"/>
  <c r="B62" i="8" l="1"/>
  <c r="G61" i="8"/>
  <c r="F105" i="1"/>
  <c r="E85" i="1"/>
  <c r="F85" i="1"/>
  <c r="F38" i="1"/>
  <c r="D70" i="1"/>
  <c r="F72" i="1" s="1"/>
  <c r="E81" i="1"/>
  <c r="F82" i="1" s="1"/>
  <c r="F67" i="1"/>
  <c r="E75" i="1"/>
  <c r="C43" i="1"/>
  <c r="I43" i="1" s="1"/>
  <c r="I44" i="1" s="1"/>
  <c r="I46" i="1" s="1"/>
  <c r="I47" i="1" s="1"/>
  <c r="G42" i="1"/>
  <c r="G44" i="1" s="1"/>
  <c r="G46" i="1" s="1"/>
  <c r="G47" i="1" s="1"/>
  <c r="F76" i="1"/>
  <c r="J90" i="1"/>
  <c r="J91" i="1" s="1"/>
  <c r="J103" i="1" s="1"/>
  <c r="I70" i="1"/>
  <c r="I71" i="1" s="1"/>
  <c r="I87" i="1" s="1"/>
  <c r="I88" i="1" s="1"/>
  <c r="H70" i="1"/>
  <c r="H71" i="1" s="1"/>
  <c r="H87" i="1" s="1"/>
  <c r="H88" i="1" s="1"/>
  <c r="G70" i="1"/>
  <c r="G71" i="1" s="1"/>
  <c r="G87" i="1" s="1"/>
  <c r="B63" i="8" l="1"/>
  <c r="G62" i="8"/>
  <c r="F71" i="1"/>
  <c r="F43" i="1"/>
  <c r="F44" i="1" s="1"/>
  <c r="J43" i="1"/>
  <c r="J44" i="1" s="1"/>
  <c r="J46" i="1" s="1"/>
  <c r="J47" i="1" s="1"/>
  <c r="H43" i="1"/>
  <c r="H44" i="1" s="1"/>
  <c r="H46" i="1" s="1"/>
  <c r="H47" i="1" s="1"/>
  <c r="E44" i="1"/>
  <c r="G49" i="1"/>
  <c r="G96" i="1" s="1"/>
  <c r="F73" i="1"/>
  <c r="J102" i="1"/>
  <c r="H90" i="1"/>
  <c r="H102" i="1" s="1"/>
  <c r="I90" i="1"/>
  <c r="I102" i="1" s="1"/>
  <c r="G88" i="1"/>
  <c r="G90" i="1"/>
  <c r="I49" i="1"/>
  <c r="I50" i="1" s="1"/>
  <c r="I97" i="1" s="1"/>
  <c r="B64" i="8" l="1"/>
  <c r="G63" i="8"/>
  <c r="F46" i="1"/>
  <c r="F49" i="1" s="1"/>
  <c r="F96" i="1" s="1"/>
  <c r="F87" i="1"/>
  <c r="F88" i="1" s="1"/>
  <c r="J49" i="1"/>
  <c r="J96" i="1" s="1"/>
  <c r="G50" i="1"/>
  <c r="G97" i="1" s="1"/>
  <c r="H49" i="1"/>
  <c r="H96" i="1" s="1"/>
  <c r="H91" i="1"/>
  <c r="H103" i="1" s="1"/>
  <c r="I91" i="1"/>
  <c r="I103" i="1" s="1"/>
  <c r="G102" i="1"/>
  <c r="G108" i="1" s="1"/>
  <c r="G91" i="1"/>
  <c r="G103" i="1" s="1"/>
  <c r="I96" i="1"/>
  <c r="B65" i="8" l="1"/>
  <c r="G64" i="8"/>
  <c r="F47" i="1"/>
  <c r="F50" i="1"/>
  <c r="F97" i="1"/>
  <c r="F2" i="8" s="1"/>
  <c r="G2" i="8" s="1"/>
  <c r="H108" i="1"/>
  <c r="H109" i="1" s="1"/>
  <c r="I108" i="1"/>
  <c r="I109" i="1" s="1"/>
  <c r="J108" i="1"/>
  <c r="J109" i="1" s="1"/>
  <c r="J50" i="1"/>
  <c r="J97" i="1" s="1"/>
  <c r="F90" i="1"/>
  <c r="H50" i="1"/>
  <c r="H97" i="1" s="1"/>
  <c r="G113" i="1"/>
  <c r="G115" i="1" s="1"/>
  <c r="G109" i="1"/>
  <c r="G111" i="1"/>
  <c r="G65" i="8" l="1"/>
  <c r="G66" i="8" s="1"/>
  <c r="B66" i="8"/>
  <c r="F91" i="1"/>
  <c r="H113" i="1"/>
  <c r="H115" i="1" s="1"/>
  <c r="H111" i="1"/>
  <c r="H112" i="1" s="1"/>
  <c r="I111" i="1"/>
  <c r="I112" i="1" s="1"/>
  <c r="J113" i="1"/>
  <c r="J115" i="1" s="1"/>
  <c r="I113" i="1"/>
  <c r="I115" i="1" s="1"/>
  <c r="J111" i="1"/>
  <c r="J112" i="1" s="1"/>
  <c r="G112" i="1"/>
  <c r="F102" i="1"/>
  <c r="F108" i="1" l="1"/>
  <c r="F103" i="1"/>
  <c r="F4" i="8" s="1"/>
  <c r="G4" i="8" s="1"/>
  <c r="F109" i="1" l="1"/>
  <c r="F6" i="8" s="1"/>
  <c r="G6" i="8" s="1"/>
  <c r="G7" i="8" s="1"/>
  <c r="F112" i="1"/>
  <c r="F115" i="1"/>
  <c r="F116" i="1" s="1"/>
  <c r="E108" i="1"/>
  <c r="E115" i="1" s="1"/>
  <c r="C58" i="8" l="1"/>
  <c r="D58" i="8" s="1"/>
  <c r="H65" i="8"/>
  <c r="I65" i="8" s="1"/>
  <c r="H57" i="8"/>
  <c r="I57" i="8" s="1"/>
  <c r="H58" i="8"/>
  <c r="I58" i="8" s="1"/>
  <c r="C59" i="8"/>
  <c r="D59" i="8" s="1"/>
  <c r="H66" i="8"/>
  <c r="I66" i="8" s="1"/>
  <c r="C60" i="8"/>
  <c r="D60" i="8" s="1"/>
  <c r="H59" i="8"/>
  <c r="I59" i="8" s="1"/>
  <c r="C61" i="8"/>
  <c r="D61" i="8" s="1"/>
  <c r="H60" i="8"/>
  <c r="I60" i="8" s="1"/>
  <c r="C62" i="8"/>
  <c r="D62" i="8" s="1"/>
  <c r="H61" i="8"/>
  <c r="I61" i="8" s="1"/>
  <c r="H62" i="8"/>
  <c r="I62" i="8" s="1"/>
  <c r="C63" i="8"/>
  <c r="D63" i="8" s="1"/>
  <c r="C64" i="8"/>
  <c r="D64" i="8" s="1"/>
  <c r="H63" i="8"/>
  <c r="I63" i="8" s="1"/>
  <c r="C65" i="8"/>
  <c r="D65" i="8" s="1"/>
  <c r="H64" i="8"/>
  <c r="I64" i="8" s="1"/>
  <c r="C66" i="8"/>
  <c r="D66" i="8" s="1"/>
  <c r="F113" i="1"/>
  <c r="G16" i="8" s="1"/>
  <c r="F7" i="8"/>
  <c r="G9" i="8" s="1"/>
  <c r="C37" i="8"/>
  <c r="C56" i="8"/>
  <c r="H42" i="8"/>
  <c r="I42" i="8" s="1"/>
  <c r="J42" i="8" s="1"/>
  <c r="C57" i="8"/>
  <c r="H47" i="8"/>
  <c r="I47" i="8" s="1"/>
  <c r="J47" i="8" s="1"/>
  <c r="H53" i="8"/>
  <c r="I53" i="8" s="1"/>
  <c r="J53" i="8" s="1"/>
  <c r="C52" i="8"/>
  <c r="H45" i="8"/>
  <c r="I45" i="8" s="1"/>
  <c r="J45" i="8" s="1"/>
  <c r="C49" i="8"/>
  <c r="H51" i="8"/>
  <c r="I51" i="8" s="1"/>
  <c r="J51" i="8" s="1"/>
  <c r="H39" i="8"/>
  <c r="I39" i="8" s="1"/>
  <c r="J39" i="8" s="1"/>
  <c r="C40" i="8"/>
  <c r="C55" i="8"/>
  <c r="H44" i="8"/>
  <c r="I44" i="8" s="1"/>
  <c r="J44" i="8" s="1"/>
  <c r="H56" i="8"/>
  <c r="I56" i="8" s="1"/>
  <c r="J56" i="8" s="1"/>
  <c r="H38" i="8"/>
  <c r="I38" i="8" s="1"/>
  <c r="J38" i="8" s="1"/>
  <c r="C53" i="8"/>
  <c r="C38" i="8"/>
  <c r="C51" i="8"/>
  <c r="H52" i="8"/>
  <c r="I52" i="8" s="1"/>
  <c r="J52" i="8" s="1"/>
  <c r="H50" i="8"/>
  <c r="I50" i="8" s="1"/>
  <c r="J50" i="8" s="1"/>
  <c r="H40" i="8"/>
  <c r="I40" i="8" s="1"/>
  <c r="J40" i="8" s="1"/>
  <c r="C50" i="8"/>
  <c r="C46" i="8"/>
  <c r="C39" i="8"/>
  <c r="C47" i="8"/>
  <c r="C42" i="8"/>
  <c r="H43" i="8"/>
  <c r="I43" i="8" s="1"/>
  <c r="J43" i="8" s="1"/>
  <c r="C44" i="8"/>
  <c r="C45" i="8"/>
  <c r="H37" i="8"/>
  <c r="I37" i="8" s="1"/>
  <c r="J37" i="8" s="1"/>
  <c r="H55" i="8"/>
  <c r="I55" i="8" s="1"/>
  <c r="J55" i="8" s="1"/>
  <c r="C48" i="8"/>
  <c r="C41" i="8"/>
  <c r="C54" i="8"/>
  <c r="H54" i="8"/>
  <c r="I54" i="8" s="1"/>
  <c r="J54" i="8" s="1"/>
  <c r="H46" i="8"/>
  <c r="I46" i="8" s="1"/>
  <c r="J46" i="8" s="1"/>
  <c r="H41" i="8"/>
  <c r="I41" i="8" s="1"/>
  <c r="J41" i="8" s="1"/>
  <c r="H49" i="8"/>
  <c r="I49" i="8" s="1"/>
  <c r="J49" i="8" s="1"/>
  <c r="H48" i="8"/>
  <c r="I48" i="8" s="1"/>
  <c r="J48" i="8" s="1"/>
  <c r="C43" i="8"/>
  <c r="J63" i="8" l="1"/>
  <c r="J59" i="8"/>
  <c r="E64" i="8"/>
  <c r="E60" i="8"/>
  <c r="J61" i="8"/>
  <c r="J58" i="8"/>
  <c r="E59" i="8"/>
  <c r="E66" i="8"/>
  <c r="E62" i="8"/>
  <c r="J57" i="8"/>
  <c r="J66" i="8"/>
  <c r="J62" i="8"/>
  <c r="J64" i="8"/>
  <c r="J60" i="8"/>
  <c r="J65" i="8"/>
  <c r="E63" i="8"/>
  <c r="E65" i="8"/>
  <c r="E61" i="8"/>
  <c r="E58" i="8"/>
  <c r="D53" i="8"/>
  <c r="D45" i="8"/>
  <c r="D44" i="8"/>
  <c r="D55" i="8"/>
  <c r="D39" i="8"/>
  <c r="D40" i="8"/>
  <c r="D57" i="8"/>
  <c r="D48" i="8"/>
  <c r="D50" i="8"/>
  <c r="E50" i="8" s="1"/>
  <c r="D49" i="8"/>
  <c r="D46" i="8"/>
  <c r="D54" i="8"/>
  <c r="D42" i="8"/>
  <c r="D51" i="8"/>
  <c r="E51" i="8" s="1"/>
  <c r="D43" i="8"/>
  <c r="D41" i="8"/>
  <c r="D47" i="8"/>
  <c r="D38" i="8"/>
  <c r="D56" i="8"/>
  <c r="D37" i="8"/>
  <c r="E37" i="8" s="1"/>
  <c r="D52" i="8"/>
  <c r="C36" i="8"/>
  <c r="D36" i="8" s="1"/>
  <c r="E36" i="8" s="1"/>
  <c r="F16" i="8"/>
  <c r="F25" i="8" s="1"/>
  <c r="F9" i="8"/>
  <c r="B6" i="2"/>
  <c r="C6" i="2" s="1"/>
  <c r="E45" i="8" l="1"/>
  <c r="E47" i="8"/>
  <c r="E39" i="8"/>
  <c r="E41" i="8"/>
  <c r="E54" i="8"/>
  <c r="E48" i="8"/>
  <c r="E55" i="8"/>
  <c r="E38" i="8"/>
  <c r="E52" i="8"/>
  <c r="E49" i="8"/>
  <c r="E40" i="8"/>
  <c r="E42" i="8"/>
  <c r="E53" i="8"/>
  <c r="E56" i="8"/>
  <c r="E43" i="8"/>
  <c r="E46" i="8"/>
  <c r="E57" i="8"/>
  <c r="E44" i="8"/>
  <c r="H36" i="8"/>
  <c r="I36" i="8" s="1"/>
  <c r="J36" i="8" s="1"/>
  <c r="F28" i="8"/>
  <c r="G28" i="8" s="1"/>
  <c r="B7" i="2" s="1"/>
  <c r="C7" i="2" s="1"/>
  <c r="G25" i="8"/>
  <c r="K61" i="8" l="1"/>
  <c r="F62" i="8"/>
  <c r="F65" i="8"/>
  <c r="K66" i="8"/>
  <c r="F64" i="8"/>
  <c r="F60" i="8"/>
  <c r="F66" i="8"/>
  <c r="K63" i="8"/>
  <c r="K64" i="8"/>
  <c r="K62" i="8"/>
  <c r="F63" i="8"/>
  <c r="K58" i="8"/>
  <c r="K57" i="8"/>
  <c r="K60" i="8"/>
  <c r="F61" i="8"/>
  <c r="K65" i="8"/>
  <c r="K59" i="8"/>
  <c r="F59" i="8"/>
  <c r="F58" i="8"/>
  <c r="F48" i="8"/>
  <c r="K44" i="8"/>
  <c r="K48" i="8"/>
  <c r="K49" i="8"/>
  <c r="K53" i="8"/>
  <c r="K39" i="8"/>
  <c r="K47" i="8"/>
  <c r="K40" i="8"/>
  <c r="K55" i="8"/>
  <c r="K54" i="8"/>
  <c r="K41" i="8"/>
  <c r="K46" i="8"/>
  <c r="K45" i="8"/>
  <c r="K42" i="8"/>
  <c r="K43" i="8"/>
  <c r="K50" i="8"/>
  <c r="K38" i="8"/>
  <c r="K52" i="8"/>
  <c r="K56" i="8"/>
  <c r="K37" i="8"/>
  <c r="K51" i="8"/>
  <c r="K36" i="8"/>
  <c r="F51" i="8"/>
  <c r="F46" i="8"/>
  <c r="F56" i="8"/>
  <c r="F43" i="8"/>
  <c r="F38" i="8"/>
  <c r="F37" i="8"/>
  <c r="F50" i="8"/>
  <c r="F41" i="8"/>
  <c r="F42" i="8"/>
  <c r="F53" i="8"/>
  <c r="F39" i="8"/>
  <c r="F47" i="8"/>
  <c r="F52" i="8"/>
  <c r="F55" i="8"/>
  <c r="F45" i="8"/>
  <c r="F57" i="8"/>
  <c r="F44" i="8"/>
  <c r="F40" i="8"/>
  <c r="F54" i="8"/>
  <c r="F49" i="8"/>
  <c r="F36" i="8"/>
  <c r="F30" i="8"/>
  <c r="M36" i="8" s="1"/>
  <c r="M58" i="8" l="1"/>
  <c r="M37" i="8"/>
  <c r="M45" i="8"/>
  <c r="M53" i="8"/>
  <c r="M61" i="8"/>
  <c r="M69" i="8"/>
  <c r="M77" i="8"/>
  <c r="M85" i="8"/>
  <c r="M93" i="8"/>
  <c r="M101" i="8"/>
  <c r="M109" i="8"/>
  <c r="M117" i="8"/>
  <c r="M46" i="8"/>
  <c r="M62" i="8"/>
  <c r="M70" i="8"/>
  <c r="M86" i="8"/>
  <c r="M102" i="8"/>
  <c r="M47" i="8"/>
  <c r="M55" i="8"/>
  <c r="M71" i="8"/>
  <c r="M87" i="8"/>
  <c r="M103" i="8"/>
  <c r="M119" i="8"/>
  <c r="M112" i="8"/>
  <c r="M82" i="8"/>
  <c r="M118" i="8"/>
  <c r="M50" i="8"/>
  <c r="M106" i="8"/>
  <c r="M40" i="8"/>
  <c r="M48" i="8"/>
  <c r="M56" i="8"/>
  <c r="M64" i="8"/>
  <c r="M72" i="8"/>
  <c r="M80" i="8"/>
  <c r="M88" i="8"/>
  <c r="M96" i="8"/>
  <c r="M66" i="8"/>
  <c r="M41" i="8"/>
  <c r="M49" i="8"/>
  <c r="M57" i="8"/>
  <c r="M65" i="8"/>
  <c r="M73" i="8"/>
  <c r="M81" i="8"/>
  <c r="M89" i="8"/>
  <c r="M97" i="8"/>
  <c r="M105" i="8"/>
  <c r="M113" i="8"/>
  <c r="M74" i="8"/>
  <c r="M98" i="8"/>
  <c r="M114" i="8"/>
  <c r="M90" i="8"/>
  <c r="M43" i="8"/>
  <c r="M51" i="8"/>
  <c r="M59" i="8"/>
  <c r="M67" i="8"/>
  <c r="M75" i="8"/>
  <c r="M83" i="8"/>
  <c r="M91" i="8"/>
  <c r="M99" i="8"/>
  <c r="M107" i="8"/>
  <c r="M115" i="8"/>
  <c r="M44" i="8"/>
  <c r="M52" i="8"/>
  <c r="M60" i="8"/>
  <c r="M68" i="8"/>
  <c r="M76" i="8"/>
  <c r="M84" i="8"/>
  <c r="M92" i="8"/>
  <c r="M100" i="8"/>
  <c r="M108" i="8"/>
  <c r="M116" i="8"/>
  <c r="M38" i="8"/>
  <c r="M54" i="8"/>
  <c r="M78" i="8"/>
  <c r="M94" i="8"/>
  <c r="M110" i="8"/>
  <c r="M39" i="8"/>
  <c r="M63" i="8"/>
  <c r="M79" i="8"/>
  <c r="M95" i="8"/>
  <c r="M111" i="8"/>
  <c r="M104" i="8"/>
  <c r="M42" i="8"/>
  <c r="G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Egger</author>
  </authors>
  <commentList>
    <comment ref="B67" authorId="0" shapeId="0" xr:uid="{BCF16E74-5B19-4930-B119-D6A4011D1834}">
      <text>
        <r>
          <rPr>
            <b/>
            <sz val="9"/>
            <color indexed="81"/>
            <rFont val="Tahoma"/>
            <family val="2"/>
          </rPr>
          <t>Victor Egger:</t>
        </r>
        <r>
          <rPr>
            <sz val="9"/>
            <color indexed="81"/>
            <rFont val="Tahoma"/>
            <family val="2"/>
          </rPr>
          <t xml:space="preserve">
Quelle marge appliquer en cas de vente :
à la ferme avec magasin aménagé et avec vendeur </t>
        </r>
        <r>
          <rPr>
            <b/>
            <sz val="9"/>
            <color indexed="81"/>
            <rFont val="Tahoma"/>
            <family val="2"/>
          </rPr>
          <t>40%</t>
        </r>
        <r>
          <rPr>
            <sz val="9"/>
            <color indexed="81"/>
            <rFont val="Tahoma"/>
            <family val="2"/>
          </rPr>
          <t xml:space="preserve"> 
à la ferme sans vendeur et sans grandes infastructures </t>
        </r>
        <r>
          <rPr>
            <b/>
            <sz val="9"/>
            <color indexed="81"/>
            <rFont val="Tahoma"/>
            <family val="2"/>
          </rPr>
          <t xml:space="preserve">25% </t>
        </r>
        <r>
          <rPr>
            <sz val="9"/>
            <color indexed="81"/>
            <rFont val="Tahoma"/>
            <family val="2"/>
          </rPr>
          <t xml:space="preserve">
à un magasin dans sa région </t>
        </r>
        <r>
          <rPr>
            <b/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Tahoma"/>
            <family val="2"/>
          </rPr>
          <t xml:space="preserve"> à évaluer selon les volumes livrés
à un grossite </t>
        </r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à évaluer selon les volumes livrés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 Egger</author>
  </authors>
  <commentList>
    <comment ref="C4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Victor Egger:</t>
        </r>
        <r>
          <rPr>
            <sz val="9"/>
            <color indexed="81"/>
            <rFont val="Tahoma"/>
            <family val="2"/>
          </rPr>
          <t xml:space="preserve">
1h/8h!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<sst xmlns="http://schemas.openxmlformats.org/spreadsheetml/2006/main" count="630" uniqueCount="380">
  <si>
    <t>Produktionskosten Berechnung</t>
  </si>
  <si>
    <t>Verarbeitungsmenge in Litern</t>
  </si>
  <si>
    <t>Investitionen</t>
  </si>
  <si>
    <t>Packpresse</t>
  </si>
  <si>
    <t>Bandpresse 1</t>
  </si>
  <si>
    <t>Kleinmaterial 1</t>
  </si>
  <si>
    <t>Kleinmaterial 2</t>
  </si>
  <si>
    <t>fixe Kosten</t>
  </si>
  <si>
    <t>Abschreibung</t>
  </si>
  <si>
    <t>Pressen</t>
  </si>
  <si>
    <t>Kleinmaterial</t>
  </si>
  <si>
    <t>Jahre</t>
  </si>
  <si>
    <t>Verzinsung investiertes Kapital</t>
  </si>
  <si>
    <t>des Kapitals zu</t>
  </si>
  <si>
    <t>Gebäudekosten</t>
  </si>
  <si>
    <t>pro m3</t>
  </si>
  <si>
    <t>Total fixe Presskosten</t>
  </si>
  <si>
    <t>fixe Presskosten pro Liter</t>
  </si>
  <si>
    <t>variable Kosten</t>
  </si>
  <si>
    <t>Wasserverbrauch</t>
  </si>
  <si>
    <t>m3</t>
  </si>
  <si>
    <t>Energie</t>
  </si>
  <si>
    <t>0.5 kWh / 100l</t>
  </si>
  <si>
    <t>kWh</t>
  </si>
  <si>
    <t>Unterhalt</t>
  </si>
  <si>
    <t>Bandpresse</t>
  </si>
  <si>
    <t>Akh / 1000 l</t>
  </si>
  <si>
    <t xml:space="preserve">Reparaturen </t>
  </si>
  <si>
    <t>invest. Kap.</t>
  </si>
  <si>
    <t>Betr./Reinig.</t>
  </si>
  <si>
    <t>Total variable Presskosten</t>
  </si>
  <si>
    <t>variable Presskosten pro Liter</t>
  </si>
  <si>
    <t>Gesamtkosten Abpressen pro Liter</t>
  </si>
  <si>
    <t>Arbeit</t>
  </si>
  <si>
    <t>Gesamtkosten Abpressen (fixe und var.Kosten)</t>
  </si>
  <si>
    <t>4 l Wasser/ 1 l</t>
  </si>
  <si>
    <t>Pasteurisieren</t>
  </si>
  <si>
    <t>2 x Elektrodenapparat</t>
  </si>
  <si>
    <t xml:space="preserve">Abfüllstation / Kleinmaterial </t>
  </si>
  <si>
    <t>kWh / 100l</t>
  </si>
  <si>
    <t>à</t>
  </si>
  <si>
    <t>El-Pasteure</t>
  </si>
  <si>
    <t>DLE</t>
  </si>
  <si>
    <t>El-Pasteur x 2</t>
  </si>
  <si>
    <t>Liter pro Akh</t>
  </si>
  <si>
    <t>DLE PAM 16</t>
  </si>
  <si>
    <t>DLE PA 26</t>
  </si>
  <si>
    <t>DLE PA 36</t>
  </si>
  <si>
    <t>Öl-Brenner</t>
  </si>
  <si>
    <t>pro 100 l</t>
  </si>
  <si>
    <t>bei Anz. Pers.</t>
  </si>
  <si>
    <t>DLE Öl</t>
  </si>
  <si>
    <t>Akh</t>
  </si>
  <si>
    <t>Reinigung</t>
  </si>
  <si>
    <t>1000 Liter</t>
  </si>
  <si>
    <t>Gesamtkosten Pasteurisieren (fixe und var.Kosten)</t>
  </si>
  <si>
    <t>Gesamtkosten Pasteurisieren pro Liter</t>
  </si>
  <si>
    <t>Total fixe Pasteurisationskosten</t>
  </si>
  <si>
    <t>Produktionskosten</t>
  </si>
  <si>
    <t>1.  Rohstoff "Mostobst"</t>
  </si>
  <si>
    <t>IP "gewöhnliches"</t>
  </si>
  <si>
    <t>Ausbeute in %</t>
  </si>
  <si>
    <t>pro Liter</t>
  </si>
  <si>
    <t>2. Abpresskosten fixe + variable</t>
  </si>
  <si>
    <t>3. Saftbehandlung</t>
  </si>
  <si>
    <t>Liter</t>
  </si>
  <si>
    <t>4. Pasteurisationskosten fixe + var.</t>
  </si>
  <si>
    <t>5. Gebinde</t>
  </si>
  <si>
    <t>Bag-in-Box à</t>
  </si>
  <si>
    <t xml:space="preserve">6. Div. Unkosten </t>
  </si>
  <si>
    <t>(Betr.leitung, Administration, Risiko, Schwund, Werbung,...)</t>
  </si>
  <si>
    <t>TOTAL Produktionskosten</t>
  </si>
  <si>
    <t>gesamthaft</t>
  </si>
  <si>
    <t>davon Arbeitsleistung</t>
  </si>
  <si>
    <t>Total variable Pasteurisationskosten</t>
  </si>
  <si>
    <t>variable Pasteurisationskosten pro Liter</t>
  </si>
  <si>
    <t>Past. Gerät</t>
  </si>
  <si>
    <t>fixe Pasteurisationskosten pro Liter</t>
  </si>
  <si>
    <t>inkl. Abfüllung</t>
  </si>
  <si>
    <t>7. Verkaufsmarge</t>
  </si>
  <si>
    <t>(Direktvermarktung, Arbeit, Marketing)</t>
  </si>
  <si>
    <t>Verkaufspreis</t>
  </si>
  <si>
    <t>T:\FOB\Lehrtaet\FSVerarbeitung\Prodkosten02_07_2011_2019_2021</t>
  </si>
  <si>
    <t>Bandpresse 2, resp. 3</t>
  </si>
  <si>
    <t>Durchlauferhitzer 1 (Rohrschlange)</t>
  </si>
  <si>
    <t>Durchlauferhitzer 2 (Rohrschlange)</t>
  </si>
  <si>
    <t>Durchlauferhitzer 3 (Plattentauscher)</t>
  </si>
  <si>
    <t>Durchlauferhitzer 4 (Plattentauscher/Öl)</t>
  </si>
  <si>
    <t xml:space="preserve">Variables </t>
  </si>
  <si>
    <t>Valeur du pasteurisateur</t>
  </si>
  <si>
    <t>CHF</t>
  </si>
  <si>
    <t>type</t>
  </si>
  <si>
    <t>Electicité</t>
  </si>
  <si>
    <t>Gaz</t>
  </si>
  <si>
    <t>Mazout</t>
  </si>
  <si>
    <t>CHF/kg</t>
  </si>
  <si>
    <t>%</t>
  </si>
  <si>
    <t>Services :</t>
  </si>
  <si>
    <t>Prétention de salaire</t>
  </si>
  <si>
    <t>CHF/heure</t>
  </si>
  <si>
    <t>CHF/L</t>
  </si>
  <si>
    <t>Litre</t>
  </si>
  <si>
    <t>Pressahe à façon</t>
  </si>
  <si>
    <t>Production propre</t>
  </si>
  <si>
    <t>Machines et bâtiment</t>
  </si>
  <si>
    <t>Rendement réel à l'heure du pasteurisateur</t>
  </si>
  <si>
    <t>Amortissement</t>
  </si>
  <si>
    <t>Autre petit matériel (pompes, cuves…)</t>
  </si>
  <si>
    <t>ans</t>
  </si>
  <si>
    <t>Pressoir, pasteurisateur, remplisseuse</t>
  </si>
  <si>
    <t xml:space="preserve">Achat de fruits </t>
  </si>
  <si>
    <t>Pommes</t>
  </si>
  <si>
    <t>Poires</t>
  </si>
  <si>
    <t>Coings</t>
  </si>
  <si>
    <t>Raisin</t>
  </si>
  <si>
    <t>oui/non</t>
  </si>
  <si>
    <t>Calculation du prix à la production</t>
  </si>
  <si>
    <t>Production annuelle</t>
  </si>
  <si>
    <t>Production annuelle moyenne (se référer aux 5 denière années)</t>
  </si>
  <si>
    <t xml:space="preserve">Prix de l'eau </t>
  </si>
  <si>
    <t>Heure / 1000 l</t>
  </si>
  <si>
    <t>heures / 1000 l</t>
  </si>
  <si>
    <t>Type de pressoir</t>
  </si>
  <si>
    <t>Type de pasteurisateur</t>
  </si>
  <si>
    <t>Prix du mazout</t>
  </si>
  <si>
    <t>CHF/kWh</t>
  </si>
  <si>
    <t>CHF/litre</t>
  </si>
  <si>
    <t>Prix du gaz</t>
  </si>
  <si>
    <t>à paquet</t>
  </si>
  <si>
    <t>à bande</t>
  </si>
  <si>
    <t>autre</t>
  </si>
  <si>
    <t>oui</t>
  </si>
  <si>
    <t>non</t>
  </si>
  <si>
    <t>litres/année</t>
  </si>
  <si>
    <t>Total volume de jus pressé annuellement</t>
  </si>
  <si>
    <t>Litres / année</t>
  </si>
  <si>
    <t>à panier</t>
  </si>
  <si>
    <t>Pressoir</t>
  </si>
  <si>
    <t>à gaz</t>
  </si>
  <si>
    <t>à mazout</t>
  </si>
  <si>
    <t>électrique</t>
  </si>
  <si>
    <t>Pasteurisateur</t>
  </si>
  <si>
    <t>Remplisseuse</t>
  </si>
  <si>
    <t>Litres/heure</t>
  </si>
  <si>
    <t>CHF/m3</t>
  </si>
  <si>
    <t>Entretien</t>
  </si>
  <si>
    <t>Travail</t>
  </si>
  <si>
    <t>pressage</t>
  </si>
  <si>
    <t>pressoir / année</t>
  </si>
  <si>
    <t>nettoyage</t>
  </si>
  <si>
    <t>kW</t>
  </si>
  <si>
    <t>Pasteur</t>
  </si>
  <si>
    <t>heurs/x litres</t>
  </si>
  <si>
    <t>Presse à façon</t>
  </si>
  <si>
    <t>Total</t>
  </si>
  <si>
    <t>Presse à profesonnelle</t>
  </si>
  <si>
    <t xml:space="preserve">Quantité </t>
  </si>
  <si>
    <t>prix/kg</t>
  </si>
  <si>
    <t>TOTAL</t>
  </si>
  <si>
    <t>pce</t>
  </si>
  <si>
    <t>L/heure</t>
  </si>
  <si>
    <t>Marge à la vente</t>
  </si>
  <si>
    <t>Matière première "fruits"</t>
  </si>
  <si>
    <t>Coûts de pressage à façon</t>
  </si>
  <si>
    <t xml:space="preserve">TOTAL </t>
  </si>
  <si>
    <t>Total heures</t>
  </si>
  <si>
    <t>Dont main d'œuvre</t>
  </si>
  <si>
    <t>Total final</t>
  </si>
  <si>
    <t>litres</t>
  </si>
  <si>
    <t xml:space="preserve">bénéfice de </t>
  </si>
  <si>
    <t>Rendement à l'heure réel du pressoir</t>
  </si>
  <si>
    <t xml:space="preserve">Total coût de production jus </t>
  </si>
  <si>
    <t>Total coût de production jus</t>
  </si>
  <si>
    <t>Coût pressage</t>
  </si>
  <si>
    <t>Coût pasteurisation et remplissage</t>
  </si>
  <si>
    <t>Coût clarification</t>
  </si>
  <si>
    <t>par litre</t>
  </si>
  <si>
    <t xml:space="preserve">Valeur de la remplisseuse </t>
  </si>
  <si>
    <t>Intérêt du capital propre</t>
  </si>
  <si>
    <t>Prix de l'électricité</t>
  </si>
  <si>
    <t>Traitement des jus (clarification)</t>
  </si>
  <si>
    <t>Marge sur le contenant</t>
  </si>
  <si>
    <t>Rendement</t>
  </si>
  <si>
    <t xml:space="preserve">Coûts de production de jus pour la ventre </t>
  </si>
  <si>
    <t>Volumes pressés</t>
  </si>
  <si>
    <t>kg  à</t>
  </si>
  <si>
    <t>Valeur du pressoir avec broyeur</t>
  </si>
  <si>
    <t>Temps/1000l</t>
  </si>
  <si>
    <t>Prix du jus / litre</t>
  </si>
  <si>
    <t>Prix de vente conseillé pour la vente du poduit (commerce de jus) par litre</t>
  </si>
  <si>
    <t>Pour commande, entreposage, gestion des stocks…</t>
  </si>
  <si>
    <t>Bouteilles verre</t>
  </si>
  <si>
    <t>Bouteilles PET</t>
  </si>
  <si>
    <t xml:space="preserve">Type de contenant </t>
  </si>
  <si>
    <t>Par</t>
  </si>
  <si>
    <t>Par :</t>
  </si>
  <si>
    <t xml:space="preserve">Outres </t>
  </si>
  <si>
    <t>CHF / contenant</t>
  </si>
  <si>
    <t xml:space="preserve">Prix de revente conseillé des contant (bouteilles, BiB,…) </t>
  </si>
  <si>
    <t xml:space="preserve">Marge pour la gestion des stocks lors de la revente des contant (bouteilles, BiB,…) </t>
  </si>
  <si>
    <t>à façon</t>
  </si>
  <si>
    <t>Vente</t>
  </si>
  <si>
    <t>(travail, marketing, local de vente, livraison, etc.)</t>
  </si>
  <si>
    <t>Marge pour la vente du produit fini</t>
  </si>
  <si>
    <t>Prix brut selon contant</t>
  </si>
  <si>
    <t>Salaire moins 1.-</t>
  </si>
  <si>
    <t>Salaire plus 1.-</t>
  </si>
  <si>
    <t>Volume en litre des contenants</t>
  </si>
  <si>
    <t>Petit matériel</t>
  </si>
  <si>
    <t>Amostissement capital propre</t>
  </si>
  <si>
    <t xml:space="preserve">du capital à </t>
  </si>
  <si>
    <t>Coût bâtiment</t>
  </si>
  <si>
    <t>par m3</t>
  </si>
  <si>
    <t>Coûts variables</t>
  </si>
  <si>
    <t>Utilisation d'eau</t>
  </si>
  <si>
    <t>4 l d'eau / 1 l de jus</t>
  </si>
  <si>
    <t>Réparation</t>
  </si>
  <si>
    <t>Total coûts fixe pressoire</t>
  </si>
  <si>
    <t>Coût par litre</t>
  </si>
  <si>
    <t>Pasteurisation</t>
  </si>
  <si>
    <t>Coûts fixes</t>
  </si>
  <si>
    <t>Couts fixes pressage</t>
  </si>
  <si>
    <t>Coûts variables pressage</t>
  </si>
  <si>
    <t>Total coûts fixes pasteurisation</t>
  </si>
  <si>
    <t>du cap. Invest</t>
  </si>
  <si>
    <t>Coûts total brut de la pasteurisation</t>
  </si>
  <si>
    <t>Coûts total brut de la pasteurisation au litre</t>
  </si>
  <si>
    <t>3. Coûts total brut de la pasteurisation</t>
  </si>
  <si>
    <t xml:space="preserve">Langue : </t>
  </si>
  <si>
    <t>Langue :</t>
  </si>
  <si>
    <t>Dieses Berechnungstool versucht Verkaufs-/bzw. Dienstleistungstarife zu ermitteln für kostendeckende Arbeit in der Kleinmosterei</t>
  </si>
  <si>
    <t>Einheit</t>
  </si>
  <si>
    <t>Verarbeitungstarif pro Liter, bzw. Gebinde-Einheit, inkl. Gebinde</t>
  </si>
  <si>
    <t>Empfohlener Verkaufspreis pro Liter, bzw. Gebinde (Produkteverkauf)</t>
  </si>
  <si>
    <t>Lohnanspruch</t>
  </si>
  <si>
    <t>CHF/h</t>
  </si>
  <si>
    <t>Verarbeitungsmenge gepresst (pro Jahr)</t>
  </si>
  <si>
    <t>jährliche Verarbeitungsmenge "Lohnmosterei" (Durchschnittswert von 5 Jahren)</t>
  </si>
  <si>
    <t>Liter/Jahr</t>
  </si>
  <si>
    <t>jährliche Verarbeitungsmenge für "Verkauf" (Durchschnittswert von 5 Jahren)</t>
  </si>
  <si>
    <t>Zukauf von Verarbeitungs-Ware</t>
  </si>
  <si>
    <t>ja</t>
  </si>
  <si>
    <t>ja/nein</t>
  </si>
  <si>
    <t>Äpfel</t>
  </si>
  <si>
    <t>Birnen</t>
  </si>
  <si>
    <t>Quitten</t>
  </si>
  <si>
    <t>Trauben</t>
  </si>
  <si>
    <t>Total gepresster Saft pro Jahr</t>
  </si>
  <si>
    <t>Presse, Pasteurisations-Einrichtung, Abfüllstation</t>
  </si>
  <si>
    <t>Einrichtungen und Gebäude</t>
  </si>
  <si>
    <t>Presse-Typ</t>
  </si>
  <si>
    <t>Typ</t>
  </si>
  <si>
    <t>Anschaffungspreis Presse, inkl. Mühle</t>
  </si>
  <si>
    <t xml:space="preserve">Leistung des Presse </t>
  </si>
  <si>
    <t>Liter/h</t>
  </si>
  <si>
    <t>Pasteurisations-Einrichtung</t>
  </si>
  <si>
    <t>elektrisch</t>
  </si>
  <si>
    <t>Anschaffungspreis der Pasteursations-Einrichtung</t>
  </si>
  <si>
    <t>Energie-Verbrauch in kW</t>
  </si>
  <si>
    <t>Leistung der Pasteurisations-Einrichtung</t>
  </si>
  <si>
    <t>Anschaffungspreis der Abfüllstation</t>
  </si>
  <si>
    <t>Gebäudevolumen für den Verarbeitungs-Prozess, inkl. Saftbehandlung und Lagerung</t>
  </si>
  <si>
    <t>Zinsanspruch des investierten Kapitals (60%)</t>
  </si>
  <si>
    <t xml:space="preserve">Wasser-Gebühr </t>
  </si>
  <si>
    <t>Strom-Preis</t>
  </si>
  <si>
    <t>Preis für Heizöl</t>
  </si>
  <si>
    <t>CHF/Liter</t>
  </si>
  <si>
    <t>Preis für Gas</t>
  </si>
  <si>
    <t>Gebinde-Typ</t>
  </si>
  <si>
    <t>BiB komplett</t>
  </si>
  <si>
    <t>Anschaffungspreis für komplette Gebinde (Flaschen, BiB, inkl. Verschlüsse, Etiketten, Logos, etc.)</t>
  </si>
  <si>
    <t>Inhalt der Gebinde-Einheit</t>
  </si>
  <si>
    <t>Dienstleistungen</t>
  </si>
  <si>
    <t>Saftbehandlung (Klärung, Schönung, Filtration)</t>
  </si>
  <si>
    <t>Marge für Lagerhaltung von Gebinde (Flaschen, BiB, inkl. Verschlüsse)</t>
  </si>
  <si>
    <t>empfohlener Verkaufspreis für Gebinde ab eigenem Lager (inkl. Verschluss)</t>
  </si>
  <si>
    <t>CHF / Gebinde-Typ</t>
  </si>
  <si>
    <t>Diverse Kosten und Administration (Betriebsleitung, Mitglieder-Beiträge, Qualitätsförderung, Versicherung, Weiterbildung, Werbung, ...)</t>
  </si>
  <si>
    <t>Marge für Aufwände Verkauf</t>
  </si>
  <si>
    <t>Produktions-Kosten "Lohnmosterei"</t>
  </si>
  <si>
    <t>Kosten Pressen</t>
  </si>
  <si>
    <t>Kosten Saftbehandlung</t>
  </si>
  <si>
    <t>Kosten Pasteurisation/Abfüllung</t>
  </si>
  <si>
    <t>Kosten für Gebinde (inkl. Marge)</t>
  </si>
  <si>
    <t>Kosten für Admistation</t>
  </si>
  <si>
    <t>Gesamtkosten Lohnmosterei</t>
  </si>
  <si>
    <t>Marge auf Gebinde</t>
  </si>
  <si>
    <t>Produktions-Kosten "Verkauf"</t>
  </si>
  <si>
    <t>Total Produktionskosten Saft</t>
  </si>
  <si>
    <t>Verarbeitungsrohstoffe "Früchte"</t>
  </si>
  <si>
    <t>Ausbeute-Grad</t>
  </si>
  <si>
    <t>Kosten für die Vermarktung</t>
  </si>
  <si>
    <t>(Arbeit, Marketing, Verkaufslokal, samt Infrastruktur, Lieferung, etc.)</t>
  </si>
  <si>
    <t>Lohnanspruch/h, in Schritten Fr. 1.-, nach oben oder nach unten</t>
  </si>
  <si>
    <t>Prétention de salaire revu par palier de 1.- en plus ou en moins</t>
  </si>
  <si>
    <t>Empfohlener Verkaufspreis</t>
  </si>
  <si>
    <t>BiB complets</t>
  </si>
  <si>
    <t>Prix de vente conseillé pour le pressage à façon (prestation de service) au litre emballage complet inclus par litre</t>
  </si>
  <si>
    <t>Prix de vente conseillé pour la vente du produit (commerce de jus) par litre</t>
  </si>
  <si>
    <t>Consommation en kW</t>
  </si>
  <si>
    <t>Volume du bâtiment consacré au pressage et au stockage des jus</t>
  </si>
  <si>
    <t>Divers et administration (gestion de l'entreprise, cotisations pro, concours, assurances, formation, publicité, …)</t>
  </si>
  <si>
    <t>Coût contenant vendu au prix final</t>
  </si>
  <si>
    <t>Coût administration et gestion</t>
  </si>
  <si>
    <t>Calculateur du coût</t>
  </si>
  <si>
    <t>Saftgewinnung</t>
  </si>
  <si>
    <t>Presse für Lohnmosterei</t>
  </si>
  <si>
    <t>Presse für Saftverkauf</t>
  </si>
  <si>
    <t>Presse</t>
  </si>
  <si>
    <t>Abfüllstation</t>
  </si>
  <si>
    <t>Press-Kosten</t>
  </si>
  <si>
    <t>Presse/Jahr</t>
  </si>
  <si>
    <t>Arbeitsleistung</t>
  </si>
  <si>
    <t>(5% Schönungsverluste, Trubstoffe)</t>
  </si>
  <si>
    <t>elektrische Energie</t>
  </si>
  <si>
    <t>Heiz-Öl</t>
  </si>
  <si>
    <t>Gas</t>
  </si>
  <si>
    <t>L/h</t>
  </si>
  <si>
    <t>Personal-Bedarf</t>
  </si>
  <si>
    <t>Akh/x Liter</t>
  </si>
  <si>
    <t>(Betr.leitung, Mitglieder-Beiträge, Qualitätsförderung, Administration, Risiko, Schwund, Werbung, ...)</t>
  </si>
  <si>
    <t>davon Arbeitskosten</t>
  </si>
  <si>
    <t>Total Akh</t>
  </si>
  <si>
    <t>Anderes Kleinmaterial (Pumpe, Tanks, Schläuche, …)</t>
  </si>
  <si>
    <t>années</t>
  </si>
  <si>
    <t>Variable Kosten</t>
  </si>
  <si>
    <t>(5% de perte)</t>
  </si>
  <si>
    <t>heures</t>
  </si>
  <si>
    <t>appareil</t>
  </si>
  <si>
    <t>Nettoyage</t>
  </si>
  <si>
    <t>Coûts de production</t>
  </si>
  <si>
    <t>1. Abpresskosten fixe + variable</t>
  </si>
  <si>
    <t>2. Saftbehandlung</t>
  </si>
  <si>
    <t>3. Pasteurisationskosten fixe + var.</t>
  </si>
  <si>
    <t>4. Gebinde</t>
  </si>
  <si>
    <t xml:space="preserve">5. Div. Unkosten </t>
  </si>
  <si>
    <t>2. Clarification</t>
  </si>
  <si>
    <t>5. Contenant</t>
  </si>
  <si>
    <t>6. Coûts divers</t>
  </si>
  <si>
    <t>inclus remplissage</t>
  </si>
  <si>
    <t>par Liter</t>
  </si>
  <si>
    <t>par Litre</t>
  </si>
  <si>
    <t>PET Flaschen</t>
  </si>
  <si>
    <t>Glasflaschen</t>
  </si>
  <si>
    <t xml:space="preserve">nur Beutel </t>
  </si>
  <si>
    <t>Korbpresse</t>
  </si>
  <si>
    <t>andere</t>
  </si>
  <si>
    <t>nein</t>
  </si>
  <si>
    <t>Öl</t>
  </si>
  <si>
    <t>Victor Egger
FRI Courtemelon
victor.egger@frij.ch
Max Kopp
INFORAMA Oeschberg
max.kopp@be.ch</t>
  </si>
  <si>
    <t>Pour tous les compléments, remarques ou questions permettant d'améliorer cet outil vous pouvez contacter :</t>
  </si>
  <si>
    <t>Ce calculateur cherche à donner une valeur minimale du travail effectué dans un pressoir artisanal pour le pressage à façon et la vente</t>
  </si>
  <si>
    <t>Prix à l'achat des contenants COMPLET (bouteilles, BiB, etc. avec étiquette, logos, etc.)</t>
  </si>
  <si>
    <t>Coût pressage par litre</t>
  </si>
  <si>
    <t>Total coûts variables pressage</t>
  </si>
  <si>
    <t>Coûts total brut au pressoir</t>
  </si>
  <si>
    <t>Coûts total brut au pressoir au litre</t>
  </si>
  <si>
    <t>amortissement</t>
  </si>
  <si>
    <t>Amortissement capital propre</t>
  </si>
  <si>
    <t>Coûts fixes pasteurisation par litre</t>
  </si>
  <si>
    <t>Electricité</t>
  </si>
  <si>
    <t>besoin en personnel</t>
  </si>
  <si>
    <t>Total coûts variables pasteurisation</t>
  </si>
  <si>
    <t>1. Coûts total brut au pressoir</t>
  </si>
  <si>
    <t>Administration, formation, cottisations pro, concours, publicité, risques ...)</t>
  </si>
  <si>
    <t>Cap. invest.</t>
  </si>
  <si>
    <t>Pressage</t>
  </si>
  <si>
    <t>Coûts variables pasteurisation par litre</t>
  </si>
  <si>
    <t>Variable Pasteurisationskosten pro Liter</t>
  </si>
  <si>
    <t>Bénéfice</t>
  </si>
  <si>
    <t>Vente + 5cts</t>
  </si>
  <si>
    <t>Béméfice à la vente si prix de vente majoré par palier de 5cts</t>
  </si>
  <si>
    <t>Par litre</t>
  </si>
  <si>
    <t>par litre :</t>
  </si>
  <si>
    <t>Variables en jaune</t>
  </si>
  <si>
    <t>Variablen in gelb</t>
  </si>
  <si>
    <t>Nombre de litres à façon pressés annuellement (moyenne 5 ans)</t>
  </si>
  <si>
    <t>Nombre de litres pour la vente pressés annuellement (moyenne 5 ans)</t>
  </si>
  <si>
    <t>Sprache</t>
  </si>
  <si>
    <t>ve_07.06.2022_v1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</si>
</sst>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SFr.&quot;\ * #,##0.00_ ;_ &quot;SFr.&quot;\ * \-#,##0.00_ ;_ &quot;SFr.&quot;\ * &quot;-&quot;??_ ;_ @_ "/>
    <numFmt numFmtId="165" formatCode="_-* #,##0.00\ _C_H_F_-;\-* #,##0.00\ _C_H_F_-;_-* &quot;-&quot;??\ _C_H_F_-;_-@_-"/>
    <numFmt numFmtId="166" formatCode="#,##0.00\ &quot;CHF&quot;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8"/>
      <color rgb="FF000000"/>
      <name val="Segoe UI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7" fillId="0" borderId="0" xfId="0" applyFont="1" applyFill="1"/>
    <xf numFmtId="0" fontId="0" fillId="0" borderId="0" xfId="0" applyFill="1"/>
    <xf numFmtId="0" fontId="5" fillId="0" borderId="0" xfId="0" applyFont="1" applyFill="1"/>
    <xf numFmtId="164" fontId="0" fillId="0" borderId="1" xfId="1" applyFont="1" applyFill="1" applyBorder="1"/>
    <xf numFmtId="164" fontId="0" fillId="0" borderId="1" xfId="0" applyNumberFormat="1" applyFill="1" applyBorder="1"/>
    <xf numFmtId="0" fontId="0" fillId="0" borderId="1" xfId="0" applyFill="1" applyBorder="1"/>
    <xf numFmtId="9" fontId="0" fillId="0" borderId="0" xfId="0" applyNumberFormat="1" applyFill="1"/>
    <xf numFmtId="164" fontId="0" fillId="0" borderId="0" xfId="1" applyFont="1" applyFill="1"/>
    <xf numFmtId="0" fontId="8" fillId="0" borderId="0" xfId="0" applyFont="1" applyFill="1"/>
    <xf numFmtId="164" fontId="5" fillId="0" borderId="1" xfId="0" applyNumberFormat="1" applyFont="1" applyFill="1" applyBorder="1"/>
    <xf numFmtId="164" fontId="0" fillId="0" borderId="2" xfId="0" applyNumberFormat="1" applyFill="1" applyBorder="1"/>
    <xf numFmtId="164" fontId="0" fillId="0" borderId="3" xfId="0" applyNumberFormat="1" applyFill="1" applyBorder="1"/>
    <xf numFmtId="0" fontId="5" fillId="0" borderId="4" xfId="0" applyFont="1" applyFill="1" applyBorder="1"/>
    <xf numFmtId="0" fontId="5" fillId="0" borderId="5" xfId="0" applyFont="1" applyFill="1" applyBorder="1"/>
    <xf numFmtId="164" fontId="5" fillId="0" borderId="6" xfId="0" applyNumberFormat="1" applyFont="1" applyFill="1" applyBorder="1"/>
    <xf numFmtId="164" fontId="5" fillId="0" borderId="7" xfId="0" applyNumberFormat="1" applyFont="1" applyFill="1" applyBorder="1"/>
    <xf numFmtId="0" fontId="2" fillId="0" borderId="0" xfId="0" applyFont="1" applyFill="1"/>
    <xf numFmtId="164" fontId="2" fillId="0" borderId="8" xfId="0" applyNumberFormat="1" applyFont="1" applyFill="1" applyBorder="1"/>
    <xf numFmtId="3" fontId="2" fillId="0" borderId="1" xfId="0" applyNumberFormat="1" applyFont="1" applyFill="1" applyBorder="1"/>
    <xf numFmtId="2" fontId="0" fillId="0" borderId="1" xfId="0" applyNumberFormat="1" applyFill="1" applyBorder="1"/>
    <xf numFmtId="0" fontId="0" fillId="0" borderId="9" xfId="0" applyFill="1" applyBorder="1"/>
    <xf numFmtId="0" fontId="0" fillId="0" borderId="10" xfId="0" applyFill="1" applyBorder="1"/>
    <xf numFmtId="164" fontId="5" fillId="0" borderId="1" xfId="1" applyFont="1" applyFill="1" applyBorder="1"/>
    <xf numFmtId="0" fontId="5" fillId="0" borderId="0" xfId="0" applyFont="1" applyFill="1" applyBorder="1"/>
    <xf numFmtId="164" fontId="2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4" fillId="0" borderId="0" xfId="0" applyFont="1" applyFill="1"/>
    <xf numFmtId="0" fontId="4" fillId="0" borderId="11" xfId="0" applyFont="1" applyFill="1" applyBorder="1"/>
    <xf numFmtId="164" fontId="11" fillId="2" borderId="1" xfId="1" applyFont="1" applyFill="1" applyBorder="1"/>
    <xf numFmtId="0" fontId="0" fillId="2" borderId="0" xfId="0" applyFill="1"/>
    <xf numFmtId="9" fontId="0" fillId="2" borderId="0" xfId="0" applyNumberFormat="1" applyFill="1"/>
    <xf numFmtId="164" fontId="11" fillId="2" borderId="0" xfId="1" applyFont="1" applyFill="1"/>
    <xf numFmtId="3" fontId="2" fillId="2" borderId="1" xfId="0" applyNumberFormat="1" applyFont="1" applyFill="1" applyBorder="1"/>
    <xf numFmtId="164" fontId="0" fillId="0" borderId="0" xfId="0" applyNumberFormat="1" applyFill="1" applyBorder="1"/>
    <xf numFmtId="9" fontId="11" fillId="2" borderId="0" xfId="2" applyFont="1" applyFill="1"/>
    <xf numFmtId="9" fontId="0" fillId="0" borderId="0" xfId="2" applyFont="1" applyFill="1"/>
    <xf numFmtId="0" fontId="12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12" fillId="0" borderId="0" xfId="0" applyFont="1"/>
    <xf numFmtId="164" fontId="2" fillId="0" borderId="1" xfId="0" applyNumberFormat="1" applyFont="1" applyFill="1" applyBorder="1"/>
    <xf numFmtId="164" fontId="5" fillId="0" borderId="12" xfId="0" applyNumberFormat="1" applyFont="1" applyFill="1" applyBorder="1"/>
    <xf numFmtId="164" fontId="5" fillId="0" borderId="13" xfId="0" applyNumberFormat="1" applyFont="1" applyFill="1" applyBorder="1"/>
    <xf numFmtId="164" fontId="5" fillId="0" borderId="14" xfId="0" applyNumberFormat="1" applyFont="1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0" applyNumberFormat="1"/>
    <xf numFmtId="164" fontId="11" fillId="0" borderId="1" xfId="1" applyFont="1" applyFill="1" applyBorder="1"/>
    <xf numFmtId="0" fontId="0" fillId="0" borderId="0" xfId="0" applyFill="1" applyBorder="1"/>
    <xf numFmtId="164" fontId="0" fillId="0" borderId="0" xfId="1" applyFont="1" applyFill="1" applyBorder="1"/>
    <xf numFmtId="164" fontId="11" fillId="0" borderId="0" xfId="1" applyFont="1" applyFill="1"/>
    <xf numFmtId="0" fontId="6" fillId="0" borderId="0" xfId="0" applyFont="1" applyFill="1"/>
    <xf numFmtId="2" fontId="0" fillId="0" borderId="0" xfId="0" applyNumberFormat="1" applyFill="1"/>
    <xf numFmtId="165" fontId="0" fillId="0" borderId="1" xfId="0" applyNumberFormat="1" applyFill="1" applyBorder="1"/>
    <xf numFmtId="0" fontId="12" fillId="0" borderId="1" xfId="0" applyFont="1" applyFill="1" applyBorder="1"/>
    <xf numFmtId="9" fontId="12" fillId="0" borderId="0" xfId="2" applyFont="1" applyFill="1"/>
    <xf numFmtId="164" fontId="12" fillId="0" borderId="0" xfId="1" applyFont="1" applyFill="1"/>
    <xf numFmtId="10" fontId="0" fillId="0" borderId="0" xfId="0" applyNumberFormat="1" applyFill="1"/>
    <xf numFmtId="165" fontId="0" fillId="0" borderId="0" xfId="0" applyNumberFormat="1" applyFill="1"/>
    <xf numFmtId="1" fontId="12" fillId="0" borderId="0" xfId="2" applyNumberFormat="1" applyFont="1" applyFill="1"/>
    <xf numFmtId="164" fontId="2" fillId="0" borderId="19" xfId="0" applyNumberFormat="1" applyFont="1" applyFill="1" applyBorder="1"/>
    <xf numFmtId="164" fontId="0" fillId="0" borderId="20" xfId="0" applyNumberFormat="1" applyFill="1" applyBorder="1"/>
    <xf numFmtId="166" fontId="2" fillId="0" borderId="0" xfId="0" applyNumberFormat="1" applyFont="1"/>
    <xf numFmtId="166" fontId="2" fillId="0" borderId="10" xfId="0" applyNumberFormat="1" applyFont="1" applyBorder="1"/>
    <xf numFmtId="0" fontId="3" fillId="2" borderId="0" xfId="0" applyFont="1" applyFill="1"/>
    <xf numFmtId="0" fontId="2" fillId="0" borderId="18" xfId="0" applyFont="1" applyBorder="1"/>
    <xf numFmtId="166" fontId="16" fillId="0" borderId="11" xfId="0" applyNumberFormat="1" applyFont="1" applyBorder="1"/>
    <xf numFmtId="0" fontId="2" fillId="0" borderId="4" xfId="0" applyFont="1" applyBorder="1" applyAlignment="1">
      <alignment wrapText="1"/>
    </xf>
    <xf numFmtId="2" fontId="13" fillId="0" borderId="1" xfId="0" applyNumberFormat="1" applyFont="1" applyFill="1" applyBorder="1"/>
    <xf numFmtId="2" fontId="12" fillId="0" borderId="1" xfId="0" applyNumberFormat="1" applyFont="1" applyFill="1" applyBorder="1"/>
    <xf numFmtId="164" fontId="12" fillId="0" borderId="1" xfId="0" applyNumberFormat="1" applyFont="1" applyFill="1" applyBorder="1"/>
    <xf numFmtId="166" fontId="5" fillId="0" borderId="11" xfId="0" applyNumberFormat="1" applyFont="1" applyBorder="1"/>
    <xf numFmtId="4" fontId="5" fillId="0" borderId="11" xfId="0" applyNumberFormat="1" applyFont="1" applyBorder="1"/>
    <xf numFmtId="0" fontId="0" fillId="0" borderId="21" xfId="0" applyBorder="1"/>
    <xf numFmtId="166" fontId="16" fillId="0" borderId="21" xfId="0" applyNumberFormat="1" applyFont="1" applyBorder="1"/>
    <xf numFmtId="166" fontId="12" fillId="0" borderId="11" xfId="0" applyNumberFormat="1" applyFont="1" applyBorder="1"/>
    <xf numFmtId="166" fontId="2" fillId="0" borderId="11" xfId="0" applyNumberFormat="1" applyFont="1" applyBorder="1"/>
    <xf numFmtId="166" fontId="2" fillId="0" borderId="4" xfId="0" applyNumberFormat="1" applyFont="1" applyBorder="1"/>
    <xf numFmtId="0" fontId="12" fillId="0" borderId="0" xfId="0" applyFont="1" applyBorder="1"/>
    <xf numFmtId="166" fontId="2" fillId="0" borderId="0" xfId="0" applyNumberFormat="1" applyFont="1" applyBorder="1"/>
    <xf numFmtId="0" fontId="12" fillId="0" borderId="11" xfId="0" applyFont="1" applyBorder="1"/>
    <xf numFmtId="166" fontId="2" fillId="0" borderId="19" xfId="0" applyNumberFormat="1" applyFont="1" applyBorder="1"/>
    <xf numFmtId="166" fontId="2" fillId="0" borderId="22" xfId="0" applyNumberFormat="1" applyFont="1" applyBorder="1"/>
    <xf numFmtId="166" fontId="2" fillId="0" borderId="20" xfId="0" applyNumberFormat="1" applyFont="1" applyBorder="1"/>
    <xf numFmtId="0" fontId="2" fillId="2" borderId="1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9" fontId="0" fillId="0" borderId="0" xfId="0" applyNumberFormat="1" applyProtection="1">
      <protection locked="0"/>
    </xf>
    <xf numFmtId="0" fontId="0" fillId="2" borderId="11" xfId="0" applyFill="1" applyBorder="1" applyProtection="1">
      <protection locked="0"/>
    </xf>
    <xf numFmtId="9" fontId="0" fillId="0" borderId="0" xfId="0" applyNumberFormat="1" applyFill="1" applyProtection="1">
      <protection locked="0"/>
    </xf>
    <xf numFmtId="0" fontId="1" fillId="0" borderId="0" xfId="0" applyFont="1"/>
    <xf numFmtId="0" fontId="7" fillId="0" borderId="0" xfId="0" applyFont="1"/>
    <xf numFmtId="9" fontId="0" fillId="0" borderId="0" xfId="0" applyNumberFormat="1"/>
    <xf numFmtId="164" fontId="1" fillId="0" borderId="0" xfId="1" applyFont="1" applyFill="1"/>
    <xf numFmtId="0" fontId="8" fillId="0" borderId="0" xfId="0" applyFont="1"/>
    <xf numFmtId="2" fontId="13" fillId="0" borderId="1" xfId="0" applyNumberFormat="1" applyFont="1" applyBorder="1"/>
    <xf numFmtId="2" fontId="0" fillId="0" borderId="0" xfId="0" applyNumberFormat="1"/>
    <xf numFmtId="0" fontId="5" fillId="0" borderId="4" xfId="0" applyFont="1" applyBorder="1"/>
    <xf numFmtId="0" fontId="5" fillId="0" borderId="5" xfId="0" applyFont="1" applyBorder="1"/>
    <xf numFmtId="2" fontId="0" fillId="0" borderId="1" xfId="0" applyNumberFormat="1" applyBorder="1"/>
    <xf numFmtId="0" fontId="4" fillId="0" borderId="11" xfId="0" applyFont="1" applyBorder="1"/>
    <xf numFmtId="0" fontId="0" fillId="0" borderId="10" xfId="0" applyBorder="1"/>
    <xf numFmtId="9" fontId="1" fillId="0" borderId="0" xfId="2" applyFont="1" applyFill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2" fillId="3" borderId="0" xfId="0" applyFont="1" applyFill="1"/>
    <xf numFmtId="0" fontId="2" fillId="3" borderId="11" xfId="0" applyFont="1" applyFill="1" applyBorder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11" xfId="0" applyFill="1" applyBorder="1" applyProtection="1">
      <protection locked="0"/>
    </xf>
    <xf numFmtId="0" fontId="12" fillId="3" borderId="0" xfId="0" applyFont="1" applyFill="1"/>
    <xf numFmtId="2" fontId="0" fillId="0" borderId="0" xfId="0" applyNumberFormat="1" applyFill="1" applyProtection="1"/>
    <xf numFmtId="0" fontId="0" fillId="2" borderId="20" xfId="0" applyFill="1" applyBorder="1" applyProtection="1">
      <protection locked="0"/>
    </xf>
    <xf numFmtId="0" fontId="0" fillId="2" borderId="22" xfId="0" applyFill="1" applyBorder="1" applyProtection="1">
      <protection locked="0"/>
    </xf>
    <xf numFmtId="9" fontId="0" fillId="2" borderId="11" xfId="0" applyNumberFormat="1" applyFill="1" applyBorder="1" applyProtection="1">
      <protection locked="0"/>
    </xf>
    <xf numFmtId="0" fontId="5" fillId="2" borderId="0" xfId="0" applyFont="1" applyFill="1"/>
    <xf numFmtId="0" fontId="0" fillId="2" borderId="1" xfId="0" applyFill="1" applyBorder="1"/>
    <xf numFmtId="2" fontId="13" fillId="2" borderId="1" xfId="0" applyNumberFormat="1" applyFont="1" applyFill="1" applyBorder="1"/>
    <xf numFmtId="2" fontId="0" fillId="2" borderId="1" xfId="0" applyNumberFormat="1" applyFill="1" applyBorder="1"/>
    <xf numFmtId="2" fontId="12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12" fillId="2" borderId="1" xfId="0" applyFont="1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4" fillId="2" borderId="1" xfId="0" applyFont="1" applyFill="1" applyBorder="1"/>
    <xf numFmtId="0" fontId="7" fillId="2" borderId="1" xfId="0" applyFont="1" applyFill="1" applyBorder="1"/>
    <xf numFmtId="9" fontId="0" fillId="2" borderId="1" xfId="0" applyNumberFormat="1" applyFill="1" applyBorder="1"/>
    <xf numFmtId="0" fontId="8" fillId="2" borderId="1" xfId="0" applyFont="1" applyFill="1" applyBorder="1"/>
    <xf numFmtId="9" fontId="0" fillId="2" borderId="1" xfId="0" applyNumberFormat="1" applyFill="1" applyBorder="1" applyProtection="1">
      <protection locked="0"/>
    </xf>
    <xf numFmtId="164" fontId="0" fillId="2" borderId="1" xfId="1" applyFont="1" applyFill="1" applyBorder="1"/>
    <xf numFmtId="164" fontId="1" fillId="2" borderId="1" xfId="1" applyFont="1" applyFill="1" applyBorder="1"/>
    <xf numFmtId="164" fontId="12" fillId="2" borderId="1" xfId="1" applyFont="1" applyFill="1" applyBorder="1"/>
    <xf numFmtId="9" fontId="12" fillId="2" borderId="1" xfId="2" applyFont="1" applyFill="1" applyBorder="1"/>
    <xf numFmtId="0" fontId="0" fillId="0" borderId="0" xfId="0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5" fillId="5" borderId="4" xfId="0" applyFont="1" applyFill="1" applyBorder="1"/>
    <xf numFmtId="0" fontId="5" fillId="5" borderId="5" xfId="0" applyNumberFormat="1" applyFont="1" applyFill="1" applyBorder="1"/>
    <xf numFmtId="0" fontId="5" fillId="5" borderId="5" xfId="0" applyFont="1" applyFill="1" applyBorder="1"/>
    <xf numFmtId="166" fontId="5" fillId="5" borderId="10" xfId="0" applyNumberFormat="1" applyFont="1" applyFill="1" applyBorder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6" fillId="0" borderId="0" xfId="0" applyFont="1" applyAlignment="1">
      <alignment wrapText="1"/>
    </xf>
    <xf numFmtId="0" fontId="20" fillId="0" borderId="24" xfId="0" applyFont="1" applyBorder="1" applyAlignment="1"/>
    <xf numFmtId="0" fontId="18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/>
    <xf numFmtId="0" fontId="19" fillId="4" borderId="10" xfId="0" applyFont="1" applyFill="1" applyBorder="1" applyAlignment="1"/>
    <xf numFmtId="0" fontId="16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Feuil1!$I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www.frij.ch/Conseil/Production-vegetale-/Station-darboriculture" TargetMode="External"/><Relationship Id="rId7" Type="http://schemas.openxmlformats.org/officeDocument/2006/relationships/hyperlink" Target="https://www.fr.ch/grangeneuve/service-phytosanitaire-cantonal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jus-de-pomme.org/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www.inforama.ch/beratung/pflanzenbau-tierhaltung/beeren-und-obst" TargetMode="External"/><Relationship Id="rId10" Type="http://schemas.openxmlformats.org/officeDocument/2006/relationships/image" Target="../media/image5.jpeg"/><Relationship Id="rId4" Type="http://schemas.openxmlformats.org/officeDocument/2006/relationships/image" Target="../media/image2.png"/><Relationship Id="rId9" Type="http://schemas.openxmlformats.org/officeDocument/2006/relationships/hyperlink" Target="https://www.bernerfruechte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866775</xdr:colOff>
          <xdr:row>3</xdr:row>
          <xdr:rowOff>0</xdr:rowOff>
        </xdr:from>
        <xdr:to>
          <xdr:col>0</xdr:col>
          <xdr:colOff>1981200</xdr:colOff>
          <xdr:row>4</xdr:row>
          <xdr:rowOff>38100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Français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2105025</xdr:colOff>
          <xdr:row>3</xdr:row>
          <xdr:rowOff>38100</xdr:rowOff>
        </xdr:from>
        <xdr:to>
          <xdr:col>0</xdr:col>
          <xdr:colOff>3095625</xdr:colOff>
          <xdr:row>4</xdr:row>
          <xdr:rowOff>9525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Deutsch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863750</xdr:colOff>
      <xdr:row>1</xdr:row>
      <xdr:rowOff>227703</xdr:rowOff>
    </xdr:from>
    <xdr:to>
      <xdr:col>0</xdr:col>
      <xdr:colOff>3929270</xdr:colOff>
      <xdr:row>1</xdr:row>
      <xdr:rowOff>970785</xdr:rowOff>
    </xdr:to>
    <xdr:pic>
      <xdr:nvPicPr>
        <xdr:cNvPr id="5" name="Imag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750" y="1446903"/>
          <a:ext cx="3065520" cy="743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2779059</xdr:colOff>
      <xdr:row>0</xdr:row>
      <xdr:rowOff>1089025</xdr:rowOff>
    </xdr:to>
    <xdr:pic>
      <xdr:nvPicPr>
        <xdr:cNvPr id="2" name="Imag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2779059" cy="1089024"/>
        </a:xfrm>
        <a:prstGeom prst="rect">
          <a:avLst/>
        </a:prstGeom>
      </xdr:spPr>
    </xdr:pic>
    <xdr:clientData/>
  </xdr:twoCellAnchor>
  <xdr:twoCellAnchor editAs="oneCell">
    <xdr:from>
      <xdr:col>0</xdr:col>
      <xdr:colOff>3074895</xdr:colOff>
      <xdr:row>0</xdr:row>
      <xdr:rowOff>35858</xdr:rowOff>
    </xdr:from>
    <xdr:to>
      <xdr:col>1</xdr:col>
      <xdr:colOff>2674</xdr:colOff>
      <xdr:row>0</xdr:row>
      <xdr:rowOff>851646</xdr:rowOff>
    </xdr:to>
    <xdr:pic>
      <xdr:nvPicPr>
        <xdr:cNvPr id="11" name="Grafik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4895" y="35858"/>
          <a:ext cx="2231547" cy="815788"/>
        </a:xfrm>
        <a:prstGeom prst="rect">
          <a:avLst/>
        </a:prstGeom>
      </xdr:spPr>
    </xdr:pic>
    <xdr:clientData/>
  </xdr:twoCellAnchor>
  <xdr:twoCellAnchor>
    <xdr:from>
      <xdr:col>0</xdr:col>
      <xdr:colOff>3039036</xdr:colOff>
      <xdr:row>0</xdr:row>
      <xdr:rowOff>932330</xdr:rowOff>
    </xdr:from>
    <xdr:to>
      <xdr:col>0</xdr:col>
      <xdr:colOff>5342965</xdr:colOff>
      <xdr:row>0</xdr:row>
      <xdr:rowOff>1192306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39036" y="932330"/>
          <a:ext cx="2303929" cy="259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H" sz="1100"/>
            <a:t>Fachstelle für Obst und Beeren</a:t>
          </a:r>
        </a:p>
      </xdr:txBody>
    </xdr:sp>
    <xdr:clientData/>
  </xdr:twoCellAnchor>
  <xdr:twoCellAnchor editAs="oneCell">
    <xdr:from>
      <xdr:col>1</xdr:col>
      <xdr:colOff>349624</xdr:colOff>
      <xdr:row>0</xdr:row>
      <xdr:rowOff>26894</xdr:rowOff>
    </xdr:from>
    <xdr:to>
      <xdr:col>2</xdr:col>
      <xdr:colOff>439271</xdr:colOff>
      <xdr:row>0</xdr:row>
      <xdr:rowOff>1155089</xdr:rowOff>
    </xdr:to>
    <xdr:pic>
      <xdr:nvPicPr>
        <xdr:cNvPr id="16" name="Imag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9483" y="26894"/>
          <a:ext cx="1138517" cy="1128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4383744</xdr:colOff>
      <xdr:row>0</xdr:row>
      <xdr:rowOff>1192306</xdr:rowOff>
    </xdr:from>
    <xdr:to>
      <xdr:col>1</xdr:col>
      <xdr:colOff>717528</xdr:colOff>
      <xdr:row>1</xdr:row>
      <xdr:rowOff>1133061</xdr:rowOff>
    </xdr:to>
    <xdr:pic>
      <xdr:nvPicPr>
        <xdr:cNvPr id="19" name="Image 18" descr="Berner Früchte statt Besofrisch - Schweizer Bauer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744" y="1192306"/>
          <a:ext cx="1707541" cy="1159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310%20Vergers\Transformation\Jus%20de%20Pomme\Calculateurs%20pressoirs\Copie%20de%20Deutsch220510BerechnungstoolMostpresse_ko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ésultats"/>
      <sheetName val="Calculateur"/>
      <sheetName val="Pressage"/>
      <sheetName val="Pasteurisation"/>
      <sheetName val="Conditionnement"/>
      <sheetName val="Vente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="115" zoomScaleNormal="115" workbookViewId="0">
      <selection activeCell="G4" sqref="G4"/>
    </sheetView>
  </sheetViews>
  <sheetFormatPr baseColWidth="10" defaultRowHeight="12.75" x14ac:dyDescent="0.2"/>
  <cols>
    <col min="1" max="1" width="78.28515625" customWidth="1"/>
    <col min="2" max="3" width="15.28515625" customWidth="1"/>
  </cols>
  <sheetData>
    <row r="1" spans="1:4" ht="96" customHeight="1" x14ac:dyDescent="0.2"/>
    <row r="2" spans="1:4" ht="104.45" customHeight="1" thickBot="1" x14ac:dyDescent="0.25"/>
    <row r="3" spans="1:4" ht="45.6" customHeight="1" thickBot="1" x14ac:dyDescent="0.3">
      <c r="A3" s="159" t="str">
        <f>Feuil1!O3</f>
        <v>Ce calculateur cherche à donner une valeur minimale du travail effectué dans un pressoir artisanal pour le pressage à façon et la vente</v>
      </c>
      <c r="B3" s="160"/>
      <c r="C3" s="83" t="str">
        <f>Feuil1!P3</f>
        <v>Par :</v>
      </c>
      <c r="D3" s="85"/>
    </row>
    <row r="4" spans="1:4" ht="18.75" thickBot="1" x14ac:dyDescent="0.3">
      <c r="A4" s="1" t="str">
        <f>Feuil1!O4</f>
        <v xml:space="preserve">Langue : </v>
      </c>
      <c r="B4" s="48"/>
      <c r="C4" s="83" t="str">
        <f>B52</f>
        <v>BiB komplett</v>
      </c>
      <c r="D4" s="86"/>
    </row>
    <row r="5" spans="1:4" ht="15.75" thickBot="1" x14ac:dyDescent="0.3">
      <c r="B5" s="48"/>
      <c r="C5" s="84">
        <f>B56</f>
        <v>5</v>
      </c>
      <c r="D5" s="84" t="str">
        <f>Feuil1!P57</f>
        <v>Litre</v>
      </c>
    </row>
    <row r="6" spans="1:4" ht="31.5" customHeight="1" thickBot="1" x14ac:dyDescent="0.3">
      <c r="A6" s="79" t="str">
        <f>Feuil1!O6</f>
        <v>Prix de vente conseillé pour le pressage à façon (prestation de service) au litre emballage complet inclus par litre</v>
      </c>
      <c r="B6" s="78">
        <f>'Résultats-ergebnis'!G9</f>
        <v>1.3364978849902531</v>
      </c>
      <c r="C6" s="78">
        <f>B6*C5</f>
        <v>6.6824894249512656</v>
      </c>
    </row>
    <row r="7" spans="1:4" ht="32.25" customHeight="1" thickBot="1" x14ac:dyDescent="0.3">
      <c r="A7" s="79" t="s">
        <v>189</v>
      </c>
      <c r="B7" s="78">
        <f>'Résultats-ergebnis'!G28</f>
        <v>2.399774957764782</v>
      </c>
      <c r="C7" s="78">
        <f>B7*C5</f>
        <v>11.99887478882391</v>
      </c>
    </row>
    <row r="8" spans="1:4" ht="13.5" thickBot="1" x14ac:dyDescent="0.25"/>
    <row r="9" spans="1:4" ht="23.45" customHeight="1" thickBot="1" x14ac:dyDescent="0.35">
      <c r="A9" s="161" t="str">
        <f>Feuil1!O10</f>
        <v>Variables en jaune</v>
      </c>
      <c r="B9" s="162"/>
      <c r="C9" s="163"/>
    </row>
    <row r="10" spans="1:4" ht="13.5" thickBot="1" x14ac:dyDescent="0.25">
      <c r="A10" s="48"/>
    </row>
    <row r="11" spans="1:4" ht="13.5" thickBot="1" x14ac:dyDescent="0.25">
      <c r="A11" s="117" t="str">
        <f>Feuil1!O12</f>
        <v>Prétention de salaire</v>
      </c>
      <c r="B11" s="96">
        <v>35</v>
      </c>
      <c r="C11" s="117" t="str">
        <f>Feuil1!P12</f>
        <v>CHF/heure</v>
      </c>
    </row>
    <row r="12" spans="1:4" x14ac:dyDescent="0.2">
      <c r="A12" s="48"/>
    </row>
    <row r="13" spans="1:4" x14ac:dyDescent="0.2">
      <c r="A13" s="117" t="str">
        <f>Feuil1!O14</f>
        <v>Volumes pressés</v>
      </c>
      <c r="B13" s="119"/>
      <c r="C13" s="119"/>
    </row>
    <row r="14" spans="1:4" ht="13.5" thickBot="1" x14ac:dyDescent="0.25">
      <c r="A14" s="48"/>
    </row>
    <row r="15" spans="1:4" ht="13.5" thickBot="1" x14ac:dyDescent="0.25">
      <c r="A15" s="48" t="str">
        <f>Feuil1!O16</f>
        <v>Nombre de litres à façon pressés annuellement (moyenne 5 ans)</v>
      </c>
      <c r="B15" s="100">
        <v>30000</v>
      </c>
      <c r="C15" t="str">
        <f>Feuil1!P16</f>
        <v>litres/année</v>
      </c>
    </row>
    <row r="16" spans="1:4" ht="13.5" thickBot="1" x14ac:dyDescent="0.25">
      <c r="A16" s="48" t="str">
        <f>Feuil1!O17</f>
        <v>Nombre de litres pour la vente pressés annuellement (moyenne 5 ans)</v>
      </c>
      <c r="B16" s="124">
        <v>15000</v>
      </c>
      <c r="C16" t="str">
        <f>Feuil1!P17</f>
        <v>litres/année</v>
      </c>
    </row>
    <row r="17" spans="1:5" ht="13.5" thickBot="1" x14ac:dyDescent="0.25">
      <c r="A17" s="48"/>
      <c r="B17" s="97"/>
    </row>
    <row r="18" spans="1:5" ht="13.5" thickBot="1" x14ac:dyDescent="0.25">
      <c r="A18" s="48" t="str">
        <f>Feuil1!O19</f>
        <v xml:space="preserve">Achat de fruits </v>
      </c>
      <c r="B18" s="100" t="s">
        <v>347</v>
      </c>
      <c r="C18" t="str">
        <f>Feuil1!P19</f>
        <v>oui/non</v>
      </c>
    </row>
    <row r="19" spans="1:5" ht="13.5" thickBot="1" x14ac:dyDescent="0.25">
      <c r="A19" s="48" t="str">
        <f>Feuil1!O20</f>
        <v>Pommes</v>
      </c>
      <c r="B19" s="100">
        <v>25000</v>
      </c>
      <c r="C19" t="str">
        <f>Feuil1!P20</f>
        <v>kg  à</v>
      </c>
      <c r="D19" s="100">
        <v>0.35</v>
      </c>
      <c r="E19" s="48" t="s">
        <v>95</v>
      </c>
    </row>
    <row r="20" spans="1:5" ht="13.5" thickBot="1" x14ac:dyDescent="0.25">
      <c r="A20" s="48" t="str">
        <f>Feuil1!O21</f>
        <v>Poires</v>
      </c>
      <c r="B20" s="100">
        <v>0</v>
      </c>
      <c r="C20" t="str">
        <f>Feuil1!P21</f>
        <v>kg  à</v>
      </c>
      <c r="D20" s="100">
        <v>0.3</v>
      </c>
      <c r="E20" s="48" t="s">
        <v>95</v>
      </c>
    </row>
    <row r="21" spans="1:5" ht="13.5" thickBot="1" x14ac:dyDescent="0.25">
      <c r="A21" s="48" t="str">
        <f>Feuil1!O22</f>
        <v>Coings</v>
      </c>
      <c r="B21" s="100"/>
      <c r="C21" t="str">
        <f>Feuil1!P22</f>
        <v>kg  à</v>
      </c>
      <c r="D21" s="100">
        <v>1</v>
      </c>
      <c r="E21" s="48" t="s">
        <v>95</v>
      </c>
    </row>
    <row r="22" spans="1:5" ht="13.5" thickBot="1" x14ac:dyDescent="0.25">
      <c r="A22" s="48" t="str">
        <f>Feuil1!O23</f>
        <v>Raisin</v>
      </c>
      <c r="B22" s="100"/>
      <c r="C22" t="str">
        <f>Feuil1!P23</f>
        <v>kg  à</v>
      </c>
      <c r="D22" s="100">
        <v>2.5</v>
      </c>
      <c r="E22" s="48" t="s">
        <v>95</v>
      </c>
    </row>
    <row r="23" spans="1:5" x14ac:dyDescent="0.2">
      <c r="A23" s="48"/>
    </row>
    <row r="24" spans="1:5" x14ac:dyDescent="0.2">
      <c r="A24" s="48" t="str">
        <f>Feuil1!O25</f>
        <v>Total volume de jus pressé annuellement</v>
      </c>
      <c r="B24" s="77">
        <f>B15+B16</f>
        <v>45000</v>
      </c>
      <c r="C24" s="77" t="str">
        <f>Feuil1!P25</f>
        <v>Litres / année</v>
      </c>
    </row>
    <row r="25" spans="1:5" x14ac:dyDescent="0.2">
      <c r="A25" s="48"/>
    </row>
    <row r="26" spans="1:5" ht="13.5" thickBot="1" x14ac:dyDescent="0.25">
      <c r="A26" s="117" t="str">
        <f>Feuil1!O27</f>
        <v>Amortissement</v>
      </c>
      <c r="B26" s="119"/>
      <c r="C26" s="119"/>
    </row>
    <row r="27" spans="1:5" ht="13.5" thickBot="1" x14ac:dyDescent="0.25">
      <c r="A27" s="48" t="str">
        <f>Feuil1!O28</f>
        <v>Pressoir, pasteurisateur, remplisseuse</v>
      </c>
      <c r="B27" s="100">
        <v>15</v>
      </c>
      <c r="C27" t="str">
        <f>Feuil1!P28</f>
        <v>ans</v>
      </c>
    </row>
    <row r="28" spans="1:5" ht="13.5" thickBot="1" x14ac:dyDescent="0.25">
      <c r="A28" s="48" t="str">
        <f>Feuil1!O29</f>
        <v>Petit matériel</v>
      </c>
      <c r="B28" s="124">
        <v>8</v>
      </c>
      <c r="C28" t="str">
        <f>Feuil1!P29</f>
        <v>ans</v>
      </c>
    </row>
    <row r="29" spans="1:5" x14ac:dyDescent="0.2">
      <c r="A29" s="48"/>
    </row>
    <row r="30" spans="1:5" ht="13.5" thickBot="1" x14ac:dyDescent="0.25">
      <c r="A30" s="117" t="str">
        <f>Feuil1!O31</f>
        <v>Machines et bâtiment</v>
      </c>
      <c r="B30" s="119"/>
      <c r="C30" s="119"/>
    </row>
    <row r="31" spans="1:5" ht="13.5" thickBot="1" x14ac:dyDescent="0.25">
      <c r="A31" s="48" t="str">
        <f>Feuil1!O32</f>
        <v>Type de pressoir</v>
      </c>
      <c r="B31" s="100" t="s">
        <v>25</v>
      </c>
      <c r="C31" s="48" t="str">
        <f>Feuil1!P32</f>
        <v>type</v>
      </c>
    </row>
    <row r="32" spans="1:5" ht="13.5" thickBot="1" x14ac:dyDescent="0.25">
      <c r="A32" s="48" t="str">
        <f>Feuil1!O33</f>
        <v>Valeur du pressoir avec broyeur</v>
      </c>
      <c r="B32" s="100">
        <v>20000</v>
      </c>
      <c r="C32" s="48" t="str">
        <f>Feuil1!P33</f>
        <v>CHF</v>
      </c>
    </row>
    <row r="33" spans="1:3" ht="13.5" thickBot="1" x14ac:dyDescent="0.25">
      <c r="A33" s="48" t="str">
        <f>Feuil1!O34</f>
        <v>Rendement à l'heure réel du pressoir</v>
      </c>
      <c r="B33" s="100">
        <v>300</v>
      </c>
      <c r="C33" s="48" t="str">
        <f>Feuil1!P34</f>
        <v>Litres/heure</v>
      </c>
    </row>
    <row r="34" spans="1:3" ht="13.5" thickBot="1" x14ac:dyDescent="0.25">
      <c r="A34" s="48" t="str">
        <f>Feuil1!O35</f>
        <v>Type de pasteurisateur</v>
      </c>
      <c r="B34" s="125" t="s">
        <v>256</v>
      </c>
      <c r="C34" s="48" t="str">
        <f>Feuil1!P35</f>
        <v>type</v>
      </c>
    </row>
    <row r="35" spans="1:3" ht="13.5" thickBot="1" x14ac:dyDescent="0.25">
      <c r="A35" s="48" t="str">
        <f>Feuil1!O36</f>
        <v>Valeur du pasteurisateur</v>
      </c>
      <c r="B35" s="100">
        <v>6000</v>
      </c>
      <c r="C35" s="48" t="str">
        <f>Feuil1!P36</f>
        <v>CHF</v>
      </c>
    </row>
    <row r="36" spans="1:3" ht="13.5" thickBot="1" x14ac:dyDescent="0.25">
      <c r="A36" s="48" t="str">
        <f>Feuil1!O37</f>
        <v>Consommation en kW</v>
      </c>
      <c r="B36" s="100">
        <v>36</v>
      </c>
      <c r="C36" s="48" t="str">
        <f>Feuil1!P37</f>
        <v>kW</v>
      </c>
    </row>
    <row r="37" spans="1:3" ht="13.5" thickBot="1" x14ac:dyDescent="0.25">
      <c r="A37" s="48" t="str">
        <f>Feuil1!O38</f>
        <v>Rendement réel à l'heure du pasteurisateur</v>
      </c>
      <c r="B37" s="100">
        <v>250</v>
      </c>
      <c r="C37" s="48" t="str">
        <f>Feuil1!P38</f>
        <v>Litres/heure</v>
      </c>
    </row>
    <row r="38" spans="1:3" ht="13.5" thickBot="1" x14ac:dyDescent="0.25">
      <c r="A38" s="48" t="str">
        <f>Feuil1!O39</f>
        <v xml:space="preserve">Valeur de la remplisseuse </v>
      </c>
      <c r="B38" s="100">
        <v>3000</v>
      </c>
      <c r="C38" s="48" t="str">
        <f>Feuil1!P39</f>
        <v>CHF</v>
      </c>
    </row>
    <row r="39" spans="1:3" ht="13.5" thickBot="1" x14ac:dyDescent="0.25">
      <c r="A39" s="48" t="str">
        <f>Feuil1!O40</f>
        <v>Autre petit matériel (pompes, cuves…)</v>
      </c>
      <c r="B39" s="124">
        <v>6000</v>
      </c>
      <c r="C39" s="48" t="str">
        <f>Feuil1!P40</f>
        <v>CHF</v>
      </c>
    </row>
    <row r="40" spans="1:3" ht="13.5" thickBot="1" x14ac:dyDescent="0.25">
      <c r="A40" s="48"/>
      <c r="B40" s="97"/>
      <c r="C40" s="48"/>
    </row>
    <row r="41" spans="1:3" ht="13.5" thickBot="1" x14ac:dyDescent="0.25">
      <c r="A41" s="48" t="str">
        <f>Feuil1!O42</f>
        <v>Volume du bâtiment consacré au pressage et au stockage des jus</v>
      </c>
      <c r="B41" s="100">
        <v>250</v>
      </c>
      <c r="C41" s="48" t="str">
        <f>Feuil1!P42</f>
        <v>m3</v>
      </c>
    </row>
    <row r="42" spans="1:3" ht="13.5" thickBot="1" x14ac:dyDescent="0.25">
      <c r="A42" s="48"/>
      <c r="B42" s="97"/>
      <c r="C42" s="48"/>
    </row>
    <row r="43" spans="1:3" ht="13.5" thickBot="1" x14ac:dyDescent="0.25">
      <c r="A43" s="48" t="str">
        <f>Feuil1!O44</f>
        <v>Intérêt du capital propre</v>
      </c>
      <c r="B43" s="126">
        <v>0.03</v>
      </c>
      <c r="C43" s="48" t="str">
        <f>Feuil1!P44</f>
        <v>%</v>
      </c>
    </row>
    <row r="44" spans="1:3" ht="13.5" thickBot="1" x14ac:dyDescent="0.25">
      <c r="A44" s="48"/>
      <c r="B44" s="99"/>
      <c r="C44" s="48"/>
    </row>
    <row r="45" spans="1:3" ht="13.5" thickBot="1" x14ac:dyDescent="0.25">
      <c r="A45" s="48" t="str">
        <f>Feuil1!O46</f>
        <v xml:space="preserve">Prix de l'eau </v>
      </c>
      <c r="B45" s="100">
        <v>3.5</v>
      </c>
      <c r="C45" s="48" t="str">
        <f>Feuil1!P46</f>
        <v>CHF/m3</v>
      </c>
    </row>
    <row r="46" spans="1:3" x14ac:dyDescent="0.2">
      <c r="A46" s="48"/>
      <c r="B46" s="97"/>
      <c r="C46" s="48"/>
    </row>
    <row r="47" spans="1:3" ht="13.5" thickBot="1" x14ac:dyDescent="0.25">
      <c r="A47" s="117" t="str">
        <f>Feuil1!O48</f>
        <v>Energie</v>
      </c>
      <c r="B47" s="120" t="str">
        <f>B34</f>
        <v>elektrisch</v>
      </c>
      <c r="C47" s="119" t="str">
        <f>Feuil1!P48</f>
        <v>type</v>
      </c>
    </row>
    <row r="48" spans="1:3" ht="13.5" thickBot="1" x14ac:dyDescent="0.25">
      <c r="A48" s="48" t="str">
        <f>Feuil1!O49</f>
        <v>Prix de l'électricité</v>
      </c>
      <c r="B48" s="100">
        <v>0.22</v>
      </c>
      <c r="C48" s="48" t="str">
        <f>Feuil1!P49</f>
        <v>CHF/kWh</v>
      </c>
    </row>
    <row r="49" spans="1:11" ht="13.5" thickBot="1" x14ac:dyDescent="0.25">
      <c r="A49" s="48" t="str">
        <f>Feuil1!O50</f>
        <v>Prix du mazout</v>
      </c>
      <c r="B49" s="100">
        <v>0</v>
      </c>
      <c r="C49" s="48" t="str">
        <f>Feuil1!P50</f>
        <v>CHF/litre</v>
      </c>
    </row>
    <row r="50" spans="1:11" ht="13.5" thickBot="1" x14ac:dyDescent="0.25">
      <c r="A50" s="48" t="str">
        <f>Feuil1!O51</f>
        <v>Prix du gaz</v>
      </c>
      <c r="B50" s="100">
        <v>0</v>
      </c>
      <c r="C50" s="48" t="str">
        <f>Feuil1!P51</f>
        <v>CHF/kWh</v>
      </c>
    </row>
    <row r="51" spans="1:11" ht="13.5" thickBot="1" x14ac:dyDescent="0.25">
      <c r="A51" s="48"/>
      <c r="B51" s="97"/>
    </row>
    <row r="52" spans="1:11" ht="13.5" thickBot="1" x14ac:dyDescent="0.25">
      <c r="A52" s="117" t="str">
        <f>Feuil1!O53</f>
        <v xml:space="preserve">Type de contenant </v>
      </c>
      <c r="B52" s="121" t="s">
        <v>269</v>
      </c>
      <c r="C52" s="119"/>
    </row>
    <row r="53" spans="1:11" ht="13.5" thickBot="1" x14ac:dyDescent="0.25">
      <c r="A53" s="48"/>
      <c r="B53" s="98"/>
      <c r="C53" s="48"/>
    </row>
    <row r="54" spans="1:11" ht="13.5" thickBot="1" x14ac:dyDescent="0.25">
      <c r="A54" s="48" t="str">
        <f>Feuil1!O55</f>
        <v>Prix à l'achat des contenants COMPLET (bouteilles, BiB, etc. avec étiquette, logos, etc.)</v>
      </c>
      <c r="B54" s="100">
        <v>1.8</v>
      </c>
      <c r="C54" s="48" t="str">
        <f>Feuil1!P55</f>
        <v>CHF</v>
      </c>
    </row>
    <row r="55" spans="1:11" ht="13.5" thickBot="1" x14ac:dyDescent="0.25">
      <c r="A55" s="48"/>
      <c r="B55" s="97"/>
      <c r="C55" s="48"/>
    </row>
    <row r="56" spans="1:11" ht="13.5" thickBot="1" x14ac:dyDescent="0.25">
      <c r="A56" s="48" t="str">
        <f>Feuil1!O57</f>
        <v>Volume en litre des contenants</v>
      </c>
      <c r="B56" s="100">
        <v>5</v>
      </c>
      <c r="C56" t="str">
        <f>Feuil1!P57</f>
        <v>Litre</v>
      </c>
    </row>
    <row r="57" spans="1:11" x14ac:dyDescent="0.2">
      <c r="A57" s="48"/>
      <c r="B57" s="97"/>
    </row>
    <row r="58" spans="1:11" ht="13.5" thickBot="1" x14ac:dyDescent="0.25">
      <c r="A58" s="117" t="str">
        <f>Feuil1!O59</f>
        <v>Services :</v>
      </c>
      <c r="B58" s="120"/>
      <c r="C58" s="119"/>
      <c r="K58" s="1"/>
    </row>
    <row r="59" spans="1:11" ht="13.5" thickBot="1" x14ac:dyDescent="0.25">
      <c r="A59" s="48" t="str">
        <f>Feuil1!O60</f>
        <v>Traitement des jus (clarification)</v>
      </c>
      <c r="B59" s="100">
        <v>0.1</v>
      </c>
      <c r="C59" t="str">
        <f>Feuil1!P60</f>
        <v>CHF/L</v>
      </c>
    </row>
    <row r="60" spans="1:11" ht="13.5" thickBot="1" x14ac:dyDescent="0.25">
      <c r="A60" s="48"/>
      <c r="B60" s="97"/>
    </row>
    <row r="61" spans="1:11" ht="13.5" thickBot="1" x14ac:dyDescent="0.25">
      <c r="A61" s="48" t="str">
        <f>Feuil1!O62</f>
        <v xml:space="preserve">Marge pour la gestion des stocks lors de la revente des contant (bouteilles, BiB,…) </v>
      </c>
      <c r="B61" s="100">
        <v>25</v>
      </c>
      <c r="C61" s="48" t="s">
        <v>96</v>
      </c>
    </row>
    <row r="62" spans="1:11" x14ac:dyDescent="0.2">
      <c r="A62" s="48"/>
      <c r="B62" s="97"/>
      <c r="C62" s="48"/>
    </row>
    <row r="63" spans="1:11" x14ac:dyDescent="0.2">
      <c r="A63" s="48" t="str">
        <f>Feuil1!O63</f>
        <v xml:space="preserve">Prix de revente conseillé des contant (bouteilles, BiB,…) </v>
      </c>
      <c r="B63" s="123">
        <f>B54/(100-B61)*100</f>
        <v>2.4</v>
      </c>
      <c r="C63" s="48" t="str">
        <f>Feuil1!P63</f>
        <v>CHF / contenant</v>
      </c>
    </row>
    <row r="64" spans="1:11" ht="13.5" thickBot="1" x14ac:dyDescent="0.25">
      <c r="A64" s="48"/>
      <c r="B64" s="97"/>
    </row>
    <row r="65" spans="1:3" ht="13.5" thickBot="1" x14ac:dyDescent="0.25">
      <c r="A65" s="48" t="str">
        <f>Feuil1!O65</f>
        <v>Divers et administration (gestion de l'entreprise, cotisations pro, concours, assurances, formation, publicité, …)</v>
      </c>
      <c r="B65" s="100">
        <v>7</v>
      </c>
      <c r="C65" s="48" t="s">
        <v>96</v>
      </c>
    </row>
    <row r="66" spans="1:3" ht="13.5" thickBot="1" x14ac:dyDescent="0.25">
      <c r="A66" s="48"/>
      <c r="B66" s="97"/>
    </row>
    <row r="67" spans="1:3" ht="13.5" thickBot="1" x14ac:dyDescent="0.25">
      <c r="A67" s="118" t="str">
        <f>Feuil1!O67</f>
        <v>Marge à la vente</v>
      </c>
      <c r="B67" s="100">
        <v>25</v>
      </c>
      <c r="C67" s="122" t="s">
        <v>96</v>
      </c>
    </row>
    <row r="68" spans="1:3" x14ac:dyDescent="0.2">
      <c r="A68" s="158" t="s">
        <v>379</v>
      </c>
    </row>
    <row r="70" spans="1:3" ht="37.15" customHeight="1" x14ac:dyDescent="0.2">
      <c r="A70" s="116" t="s">
        <v>350</v>
      </c>
    </row>
    <row r="71" spans="1:3" ht="97.15" customHeight="1" x14ac:dyDescent="0.2">
      <c r="A71" s="116" t="s">
        <v>349</v>
      </c>
    </row>
    <row r="72" spans="1:3" x14ac:dyDescent="0.2">
      <c r="A72" s="48"/>
    </row>
  </sheetData>
  <sheetProtection sheet="1" objects="1" scenarios="1"/>
  <mergeCells count="2">
    <mergeCell ref="A3:B3"/>
    <mergeCell ref="A9:C9"/>
  </mergeCells>
  <phoneticPr fontId="10" type="noConversion"/>
  <pageMargins left="0.25" right="0.25" top="0.75" bottom="0.75" header="0.3" footer="0.3"/>
  <pageSetup paperSize="9"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Option Button 7">
              <controlPr defaultSize="0" autoFill="0" autoLine="0" autoPict="0">
                <anchor moveWithCells="1">
                  <from>
                    <xdr:col>0</xdr:col>
                    <xdr:colOff>866775</xdr:colOff>
                    <xdr:row>3</xdr:row>
                    <xdr:rowOff>0</xdr:rowOff>
                  </from>
                  <to>
                    <xdr:col>0</xdr:col>
                    <xdr:colOff>1981200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Option Button 8">
              <controlPr defaultSize="0" autoFill="0" autoLine="0" autoPict="0">
                <anchor moveWithCells="1">
                  <from>
                    <xdr:col>0</xdr:col>
                    <xdr:colOff>2105025</xdr:colOff>
                    <xdr:row>3</xdr:row>
                    <xdr:rowOff>38100</xdr:rowOff>
                  </from>
                  <to>
                    <xdr:col>0</xdr:col>
                    <xdr:colOff>3095625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Feuil1!$C$7:$C$8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Feuil1!$C$1:$C$4</xm:f>
          </x14:formula1>
          <xm:sqref>B31</xm:sqref>
        </x14:dataValidation>
        <x14:dataValidation type="list" allowBlank="1" showInputMessage="1" showErrorMessage="1" xr:uid="{87128EFC-11A2-4BF3-905F-A4CFFA9D5C4D}">
          <x14:formula1>
            <xm:f>Feuil1!$C$12:$C$15</xm:f>
          </x14:formula1>
          <xm:sqref>B52</xm:sqref>
        </x14:dataValidation>
        <x14:dataValidation type="list" allowBlank="1" showInputMessage="1" showErrorMessage="1" xr:uid="{00000000-0002-0000-0000-000002000000}">
          <x14:formula1>
            <xm:f>Feuil1!$C$19:$C$22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9"/>
  <sheetViews>
    <sheetView zoomScale="85" zoomScaleNormal="85" workbookViewId="0">
      <selection activeCell="I35" sqref="I35"/>
    </sheetView>
  </sheetViews>
  <sheetFormatPr baseColWidth="10" defaultRowHeight="12.75" x14ac:dyDescent="0.2"/>
  <cols>
    <col min="1" max="1" width="36.5703125" bestFit="1" customWidth="1"/>
    <col min="2" max="2" width="12.85546875" customWidth="1"/>
    <col min="3" max="3" width="14.42578125" bestFit="1" customWidth="1"/>
    <col min="6" max="6" width="16.42578125" customWidth="1"/>
    <col min="7" max="9" width="13.7109375" customWidth="1"/>
    <col min="10" max="10" width="9.7109375" customWidth="1"/>
    <col min="11" max="15" width="13.7109375" customWidth="1"/>
    <col min="17" max="17" width="10.28515625" customWidth="1"/>
  </cols>
  <sheetData>
    <row r="1" spans="1:12" ht="25.9" customHeight="1" thickBot="1" x14ac:dyDescent="0.3">
      <c r="A1" s="164" t="str">
        <f>Feuil1!O75</f>
        <v>Coûts de pressage à façon</v>
      </c>
      <c r="B1" s="165"/>
      <c r="C1" s="165"/>
      <c r="D1" s="165"/>
      <c r="E1" s="165"/>
      <c r="F1" s="38"/>
      <c r="G1" s="127" t="s">
        <v>372</v>
      </c>
      <c r="H1" s="90"/>
      <c r="I1" s="90"/>
      <c r="J1" s="48"/>
      <c r="K1" s="48"/>
      <c r="L1" s="48"/>
    </row>
    <row r="2" spans="1:12" ht="13.5" thickBot="1" x14ac:dyDescent="0.25">
      <c r="A2" s="48" t="str">
        <f>Feuil1!O76</f>
        <v>Coût pressage</v>
      </c>
      <c r="F2" s="87">
        <f>Variables!B$15*Calculateur!F97</f>
        <v>13329.134502923975</v>
      </c>
      <c r="G2" s="87">
        <f>F2/Variables!B$15</f>
        <v>0.44430448343079915</v>
      </c>
      <c r="H2" s="7"/>
      <c r="I2" s="7"/>
    </row>
    <row r="3" spans="1:12" ht="13.5" thickBot="1" x14ac:dyDescent="0.25">
      <c r="A3" s="48" t="str">
        <f>Feuil1!O77</f>
        <v>Coût clarification</v>
      </c>
      <c r="F3" s="87">
        <f>Variables!B$15*Calculateur!F100</f>
        <v>3000</v>
      </c>
      <c r="G3" s="87">
        <f>F3/Variables!B$15</f>
        <v>0.1</v>
      </c>
      <c r="H3" s="91"/>
      <c r="I3" s="7"/>
    </row>
    <row r="4" spans="1:12" ht="13.5" thickBot="1" x14ac:dyDescent="0.25">
      <c r="A4" s="48" t="str">
        <f>Feuil1!O78</f>
        <v>Coût pasteurisation et remplissage</v>
      </c>
      <c r="F4" s="87">
        <f>Variables!B$15*Calculateur!F103</f>
        <v>6586.333333333333</v>
      </c>
      <c r="G4" s="87">
        <f>F4/Variables!B$15</f>
        <v>0.21954444444444443</v>
      </c>
      <c r="H4" s="7"/>
      <c r="I4" s="7"/>
    </row>
    <row r="5" spans="1:12" ht="13.5" thickBot="1" x14ac:dyDescent="0.25">
      <c r="A5" s="48" t="str">
        <f>Feuil1!O79</f>
        <v>Coût contenant vendu au prix final</v>
      </c>
      <c r="F5" s="87">
        <f>Variables!B$15*Calculateur!F106+F11</f>
        <v>14400</v>
      </c>
      <c r="G5" s="87">
        <f>F5/Variables!B$15</f>
        <v>0.48</v>
      </c>
      <c r="H5" s="7"/>
      <c r="I5" s="91"/>
    </row>
    <row r="6" spans="1:12" ht="13.5" thickBot="1" x14ac:dyDescent="0.25">
      <c r="A6" s="48" t="str">
        <f>Feuil1!O80</f>
        <v>Coût administration et gestion</v>
      </c>
      <c r="F6" s="87">
        <f>Variables!B$15*Calculateur!F109</f>
        <v>2779.4687134502929</v>
      </c>
      <c r="G6" s="87">
        <f>F6/Variables!B$15</f>
        <v>9.2648957115009756E-2</v>
      </c>
      <c r="H6" s="7"/>
      <c r="I6" s="7"/>
    </row>
    <row r="7" spans="1:12" ht="15.75" thickBot="1" x14ac:dyDescent="0.3">
      <c r="A7" s="10" t="str">
        <f>Feuil1!O81</f>
        <v xml:space="preserve">Total coût de production jus </v>
      </c>
      <c r="B7" s="9"/>
      <c r="C7" s="9"/>
      <c r="D7" s="47"/>
      <c r="E7" s="47"/>
      <c r="F7" s="88">
        <f>SUM(F2:F6)</f>
        <v>40094.936549707592</v>
      </c>
      <c r="G7" s="88">
        <f>SUM(G2:G6)</f>
        <v>1.3364978849902533</v>
      </c>
    </row>
    <row r="8" spans="1:12" ht="13.5" thickBot="1" x14ac:dyDescent="0.25">
      <c r="A8" s="9"/>
      <c r="B8" s="9"/>
      <c r="C8" s="9"/>
      <c r="D8" s="47"/>
      <c r="E8" s="47"/>
    </row>
    <row r="9" spans="1:12" ht="20.45" customHeight="1" thickBot="1" x14ac:dyDescent="0.3">
      <c r="B9" s="153" t="s">
        <v>194</v>
      </c>
      <c r="C9" s="153" t="str">
        <f>Variables!B52</f>
        <v>BiB komplett</v>
      </c>
      <c r="D9" s="154">
        <f>Variables!B56</f>
        <v>5</v>
      </c>
      <c r="E9" s="155" t="s">
        <v>168</v>
      </c>
      <c r="F9" s="156">
        <f>D9*G9</f>
        <v>6.6824894249512656</v>
      </c>
      <c r="G9" s="156">
        <f>F7/Variables!B15</f>
        <v>1.3364978849902531</v>
      </c>
    </row>
    <row r="10" spans="1:12" ht="13.5" thickBot="1" x14ac:dyDescent="0.25">
      <c r="D10" s="48"/>
    </row>
    <row r="11" spans="1:12" ht="13.5" thickBot="1" x14ac:dyDescent="0.25">
      <c r="A11" s="48" t="s">
        <v>181</v>
      </c>
      <c r="B11" s="58">
        <f>Variables!B63-Variables!B54</f>
        <v>0.59999999999999987</v>
      </c>
      <c r="C11" s="157" t="s">
        <v>373</v>
      </c>
      <c r="D11" s="58">
        <f>B11/Variables!B56</f>
        <v>0.11999999999999997</v>
      </c>
      <c r="E11" s="92" t="s">
        <v>169</v>
      </c>
      <c r="F11" s="88">
        <f>D11*Variables!B15</f>
        <v>3599.9999999999991</v>
      </c>
      <c r="G11" s="48" t="s">
        <v>190</v>
      </c>
    </row>
    <row r="14" spans="1:12" ht="30.6" customHeight="1" x14ac:dyDescent="0.25">
      <c r="A14" s="164" t="str">
        <f>Feuil1!O88</f>
        <v xml:space="preserve">Coûts de production de jus pour la ventre </v>
      </c>
      <c r="B14" s="165"/>
      <c r="C14" s="165"/>
      <c r="D14" s="165"/>
      <c r="E14" s="165"/>
      <c r="F14" s="38"/>
      <c r="G14" s="127" t="s">
        <v>372</v>
      </c>
    </row>
    <row r="15" spans="1:12" ht="13.5" thickBot="1" x14ac:dyDescent="0.25"/>
    <row r="16" spans="1:12" s="9" customFormat="1" ht="15.75" thickBot="1" x14ac:dyDescent="0.3">
      <c r="A16" s="10" t="str">
        <f>Feuil1!O90</f>
        <v>Total coût de production jus</v>
      </c>
      <c r="D16" s="47"/>
      <c r="E16" s="47"/>
      <c r="F16" s="88">
        <f>Variables!B16*Calculateur!F113</f>
        <v>18247.4682748538</v>
      </c>
      <c r="G16" s="88">
        <f>Calculateur!F113</f>
        <v>1.2164978849902532</v>
      </c>
    </row>
    <row r="17" spans="1:12" x14ac:dyDescent="0.2">
      <c r="F17" s="74"/>
    </row>
    <row r="18" spans="1:12" s="9" customFormat="1" ht="15.75" thickBot="1" x14ac:dyDescent="0.3">
      <c r="A18" s="10" t="str">
        <f>Feuil1!O92</f>
        <v>Matière première "fruits"</v>
      </c>
      <c r="C18" s="45" t="s">
        <v>156</v>
      </c>
      <c r="D18" s="68" t="s">
        <v>157</v>
      </c>
      <c r="E18" s="62"/>
      <c r="F18" s="74"/>
    </row>
    <row r="19" spans="1:12" s="9" customFormat="1" x14ac:dyDescent="0.2">
      <c r="A19" t="str">
        <f>Feuil1!O93</f>
        <v>Pommes</v>
      </c>
      <c r="C19" s="9" cm="1">
        <f t="array" ref="C19:C22">Variables!B19:B22</f>
        <v>25000</v>
      </c>
      <c r="D19" s="62" cm="1">
        <f t="array" ref="D19:D22">Variables!D19:D22</f>
        <v>0.35</v>
      </c>
      <c r="E19" s="62"/>
      <c r="F19" s="93">
        <f>C19*D19</f>
        <v>8750</v>
      </c>
      <c r="G19" s="74"/>
    </row>
    <row r="20" spans="1:12" s="9" customFormat="1" x14ac:dyDescent="0.2">
      <c r="A20" t="str">
        <f>Feuil1!O94</f>
        <v>Poires</v>
      </c>
      <c r="C20" s="9">
        <v>0</v>
      </c>
      <c r="D20" s="62">
        <v>0.3</v>
      </c>
      <c r="E20" s="62"/>
      <c r="F20" s="94">
        <f>C20*D20</f>
        <v>0</v>
      </c>
    </row>
    <row r="21" spans="1:12" s="9" customFormat="1" x14ac:dyDescent="0.2">
      <c r="A21" t="str">
        <f>Feuil1!O95</f>
        <v>Coings</v>
      </c>
      <c r="C21" s="9">
        <v>0</v>
      </c>
      <c r="D21" s="62">
        <v>1</v>
      </c>
      <c r="E21" s="62"/>
      <c r="F21" s="94">
        <f>C21*D21</f>
        <v>0</v>
      </c>
    </row>
    <row r="22" spans="1:12" s="9" customFormat="1" ht="13.5" thickBot="1" x14ac:dyDescent="0.25">
      <c r="A22" t="str">
        <f>Feuil1!O96</f>
        <v>Raisin</v>
      </c>
      <c r="C22" s="9">
        <v>0</v>
      </c>
      <c r="D22" s="62">
        <v>2.5</v>
      </c>
      <c r="E22" s="62"/>
      <c r="F22" s="95">
        <f>C22*D22</f>
        <v>0</v>
      </c>
    </row>
    <row r="23" spans="1:12" s="9" customFormat="1" ht="13.5" thickBot="1" x14ac:dyDescent="0.25">
      <c r="A23" t="str">
        <f>Feuil1!O97</f>
        <v>Rendement</v>
      </c>
      <c r="B23" s="69">
        <f>Calculateur!F5/SUM(C19:C22)</f>
        <v>0.63157894736842102</v>
      </c>
      <c r="E23" s="89" t="s">
        <v>158</v>
      </c>
      <c r="F23" s="75">
        <f>SUM(F18:F22)</f>
        <v>8750</v>
      </c>
      <c r="G23" s="75">
        <f>F23/Variables!B16</f>
        <v>0.58333333333333337</v>
      </c>
      <c r="K23" s="24"/>
    </row>
    <row r="24" spans="1:12" ht="13.5" thickBot="1" x14ac:dyDescent="0.25">
      <c r="F24" s="74"/>
      <c r="H24" s="9"/>
    </row>
    <row r="25" spans="1:12" s="9" customFormat="1" ht="13.5" thickBot="1" x14ac:dyDescent="0.25">
      <c r="A25" s="24" t="str">
        <f>Feuil1!O99</f>
        <v>Marge pour la vente du produit fini</v>
      </c>
      <c r="D25" s="71">
        <f>Variables!B67</f>
        <v>25</v>
      </c>
      <c r="E25" s="67" t="s">
        <v>96</v>
      </c>
      <c r="F25" s="88">
        <f>((F16+F23)/(100-D25)*100-(F16+F23))</f>
        <v>8999.1560916179333</v>
      </c>
      <c r="G25" s="75">
        <f>F25/Variables!B16</f>
        <v>0.5999437394411955</v>
      </c>
    </row>
    <row r="26" spans="1:12" s="9" customFormat="1" x14ac:dyDescent="0.2">
      <c r="A26" s="45" t="str">
        <f>Feuil1!O100</f>
        <v>(travail, marketing, local de vente, livraison, etc.)</v>
      </c>
      <c r="D26" s="44"/>
      <c r="E26" s="67"/>
    </row>
    <row r="27" spans="1:12" s="9" customFormat="1" ht="13.5" thickBot="1" x14ac:dyDescent="0.25">
      <c r="A27" s="46"/>
      <c r="D27" s="44"/>
      <c r="E27" s="44"/>
      <c r="F27" s="74"/>
    </row>
    <row r="28" spans="1:12" ht="13.5" thickBot="1" x14ac:dyDescent="0.25">
      <c r="A28" s="1" t="str">
        <f>Feuil1!O102</f>
        <v>Total final</v>
      </c>
      <c r="F28" s="88">
        <f>F16+F23+F25</f>
        <v>35996.624366471733</v>
      </c>
      <c r="G28" s="75">
        <f>F28/Variables!B16</f>
        <v>2.399774957764782</v>
      </c>
      <c r="H28" s="9"/>
      <c r="I28" s="58"/>
      <c r="J28" s="58"/>
      <c r="K28" s="58"/>
      <c r="L28" s="58"/>
    </row>
    <row r="29" spans="1:12" ht="13.5" thickBot="1" x14ac:dyDescent="0.25">
      <c r="E29" s="45"/>
      <c r="G29" s="74"/>
    </row>
    <row r="30" spans="1:12" ht="20.45" customHeight="1" thickBot="1" x14ac:dyDescent="0.3">
      <c r="B30" s="153" t="s">
        <v>194</v>
      </c>
      <c r="C30" s="153" t="str">
        <f>Variables!B52</f>
        <v>BiB komplett</v>
      </c>
      <c r="D30" s="154">
        <f>Variables!B56</f>
        <v>5</v>
      </c>
      <c r="E30" s="155" t="s">
        <v>168</v>
      </c>
      <c r="F30" s="156">
        <f>G28*D30</f>
        <v>11.99887478882391</v>
      </c>
      <c r="G30" s="156">
        <f>F30/D30</f>
        <v>2.399774957764782</v>
      </c>
    </row>
    <row r="33" spans="1:15" ht="13.5" thickBot="1" x14ac:dyDescent="0.25"/>
    <row r="34" spans="1:15" ht="52.9" customHeight="1" thickBot="1" x14ac:dyDescent="0.25">
      <c r="A34" s="48"/>
      <c r="B34" s="166" t="s">
        <v>294</v>
      </c>
      <c r="C34" s="167"/>
      <c r="D34" s="167"/>
      <c r="E34" s="167"/>
      <c r="F34" s="167"/>
      <c r="G34" s="167"/>
      <c r="H34" s="167"/>
      <c r="I34" s="167"/>
      <c r="J34" s="167"/>
      <c r="K34" s="168"/>
      <c r="M34" s="169" t="s">
        <v>371</v>
      </c>
      <c r="N34" s="170"/>
    </row>
    <row r="35" spans="1:15" ht="42.75" customHeight="1" thickBot="1" x14ac:dyDescent="0.25">
      <c r="A35" s="48"/>
      <c r="B35" s="148" t="s">
        <v>206</v>
      </c>
      <c r="C35" s="149" t="s">
        <v>188</v>
      </c>
      <c r="D35" s="150" t="s">
        <v>204</v>
      </c>
      <c r="E35" s="150" t="s">
        <v>200</v>
      </c>
      <c r="F35" s="150" t="s">
        <v>201</v>
      </c>
      <c r="G35" s="150" t="s">
        <v>205</v>
      </c>
      <c r="H35" s="150" t="s">
        <v>188</v>
      </c>
      <c r="I35" s="150" t="s">
        <v>204</v>
      </c>
      <c r="J35" s="150" t="s">
        <v>200</v>
      </c>
      <c r="K35" s="151" t="s">
        <v>201</v>
      </c>
      <c r="M35" s="152" t="s">
        <v>370</v>
      </c>
      <c r="N35" s="152" t="s">
        <v>369</v>
      </c>
      <c r="O35" s="147"/>
    </row>
    <row r="36" spans="1:15" x14ac:dyDescent="0.2">
      <c r="B36" s="74">
        <f>Variables!B11</f>
        <v>35</v>
      </c>
      <c r="C36" s="58">
        <f>Calculateur!F113</f>
        <v>1.2164978849902532</v>
      </c>
      <c r="D36" s="58">
        <f t="shared" ref="D36:D57" si="0">C36*D$30</f>
        <v>6.082489424951266</v>
      </c>
      <c r="E36" s="58">
        <f t="shared" ref="E36:E57" si="1">D36+B$11</f>
        <v>6.6824894249512656</v>
      </c>
      <c r="F36" s="58">
        <f t="shared" ref="F36:F57" si="2">D36+G$23*D$30+G$25*D$30</f>
        <v>11.998874788823912</v>
      </c>
      <c r="G36" s="74">
        <f>Variables!B11</f>
        <v>35</v>
      </c>
      <c r="H36" s="58">
        <f>C36</f>
        <v>1.2164978849902532</v>
      </c>
      <c r="I36" s="58">
        <f t="shared" ref="I36:I57" si="3">H36*D$30</f>
        <v>6.082489424951266</v>
      </c>
      <c r="J36" s="58">
        <f>I36+B$11</f>
        <v>6.6824894249512656</v>
      </c>
      <c r="K36" s="58">
        <f t="shared" ref="K36:K57" si="4">I36+G$25*D$30+G$23*D$30</f>
        <v>11.998874788823912</v>
      </c>
      <c r="M36" s="58">
        <f>F$30+Feuil1!F1</f>
        <v>12.048874788823911</v>
      </c>
      <c r="N36" s="58">
        <f>Feuil1!F1*Variables!B$16</f>
        <v>750</v>
      </c>
    </row>
    <row r="37" spans="1:15" x14ac:dyDescent="0.2">
      <c r="A37" s="48"/>
      <c r="B37" s="74">
        <f>Variables!B11+1</f>
        <v>36</v>
      </c>
      <c r="C37" s="58">
        <f>(Calculateur!F$112-Calculateur!F$115+Calculateur!E$115*'Résultats-ergebnis'!B37)/Calculateur!F$53</f>
        <v>1.2384144239766079</v>
      </c>
      <c r="D37" s="58">
        <f t="shared" si="0"/>
        <v>6.19207211988304</v>
      </c>
      <c r="E37" s="58">
        <f t="shared" si="1"/>
        <v>6.7920721198830396</v>
      </c>
      <c r="F37" s="58">
        <f t="shared" si="2"/>
        <v>12.108457483755686</v>
      </c>
      <c r="G37" s="74">
        <f>G36-1</f>
        <v>34</v>
      </c>
      <c r="H37" s="58">
        <f>(Calculateur!F$112-Calculateur!F$115+Calculateur!E$115*'Résultats-ergebnis'!G37)/Calculateur!F$53</f>
        <v>1.2138795916179335</v>
      </c>
      <c r="I37" s="58">
        <f t="shared" si="3"/>
        <v>6.0693979580896675</v>
      </c>
      <c r="J37" s="58">
        <f t="shared" ref="J37:J57" si="5">I37+B$11</f>
        <v>6.6693979580896672</v>
      </c>
      <c r="K37" s="58">
        <f t="shared" si="4"/>
        <v>11.985783321962312</v>
      </c>
      <c r="M37" s="58">
        <f>F$30+Feuil1!F2</f>
        <v>12.09887478882391</v>
      </c>
      <c r="N37" s="58">
        <f>Feuil1!F2*Variables!B$16</f>
        <v>1500</v>
      </c>
    </row>
    <row r="38" spans="1:15" x14ac:dyDescent="0.2">
      <c r="B38" s="74">
        <f>B37+1</f>
        <v>37</v>
      </c>
      <c r="C38" s="58">
        <f>(Calculateur!F$112-Calculateur!F$115+Calculateur!E$115*'Résultats-ergebnis'!B38)/Calculateur!F$53</f>
        <v>1.2506818401559452</v>
      </c>
      <c r="D38" s="58">
        <f t="shared" si="0"/>
        <v>6.2534092007797257</v>
      </c>
      <c r="E38" s="58">
        <f t="shared" si="1"/>
        <v>6.8534092007797254</v>
      </c>
      <c r="F38" s="58">
        <f t="shared" si="2"/>
        <v>12.169794564652371</v>
      </c>
      <c r="G38" s="74">
        <f t="shared" ref="G38:G57" si="6">G37-1</f>
        <v>33</v>
      </c>
      <c r="H38" s="58">
        <f>(Calculateur!F$112-Calculateur!F$115+Calculateur!E$115*'Résultats-ergebnis'!G38)/Calculateur!F$53</f>
        <v>1.2016121754385962</v>
      </c>
      <c r="I38" s="58">
        <f t="shared" si="3"/>
        <v>6.0080608771929809</v>
      </c>
      <c r="J38" s="58">
        <f t="shared" si="5"/>
        <v>6.6080608771929805</v>
      </c>
      <c r="K38" s="58">
        <f t="shared" si="4"/>
        <v>11.924446241065624</v>
      </c>
      <c r="M38" s="58">
        <f>F$30+Feuil1!F3</f>
        <v>12.14887478882391</v>
      </c>
      <c r="N38" s="58">
        <f>Feuil1!F3*Variables!B$16</f>
        <v>2250</v>
      </c>
    </row>
    <row r="39" spans="1:15" x14ac:dyDescent="0.2">
      <c r="B39" s="74">
        <f>B38+1</f>
        <v>38</v>
      </c>
      <c r="C39" s="58">
        <f>(Calculateur!F$112-Calculateur!F$115+Calculateur!E$115*'Résultats-ergebnis'!B39)/Calculateur!F$53</f>
        <v>1.2629492563352824</v>
      </c>
      <c r="D39" s="58">
        <f t="shared" si="0"/>
        <v>6.3147462816764124</v>
      </c>
      <c r="E39" s="58">
        <f t="shared" si="1"/>
        <v>6.914746281676412</v>
      </c>
      <c r="F39" s="58">
        <f t="shared" si="2"/>
        <v>12.231131645549057</v>
      </c>
      <c r="G39" s="74">
        <f t="shared" si="6"/>
        <v>32</v>
      </c>
      <c r="H39" s="58">
        <f>(Calculateur!F$112-Calculateur!F$115+Calculateur!E$115*'Résultats-ergebnis'!G39)/Calculateur!F$53</f>
        <v>1.1893447592592592</v>
      </c>
      <c r="I39" s="58">
        <f t="shared" si="3"/>
        <v>5.946723796296296</v>
      </c>
      <c r="J39" s="58">
        <f t="shared" si="5"/>
        <v>6.5467237962962956</v>
      </c>
      <c r="K39" s="58">
        <f t="shared" si="4"/>
        <v>11.863109160168939</v>
      </c>
      <c r="M39" s="58">
        <f>F$30+Feuil1!F4</f>
        <v>12.198874788823909</v>
      </c>
      <c r="N39" s="58">
        <f>Feuil1!F4*Variables!B$16</f>
        <v>3000</v>
      </c>
    </row>
    <row r="40" spans="1:15" x14ac:dyDescent="0.2">
      <c r="B40" s="74">
        <f t="shared" ref="B40:B57" si="7">B39+1</f>
        <v>39</v>
      </c>
      <c r="C40" s="58">
        <f>(Calculateur!F$112-Calculateur!F$115+Calculateur!E$115*'Résultats-ergebnis'!B40)/Calculateur!F$53</f>
        <v>1.2752166725146197</v>
      </c>
      <c r="D40" s="58">
        <f t="shared" si="0"/>
        <v>6.3760833625730982</v>
      </c>
      <c r="E40" s="58">
        <f t="shared" si="1"/>
        <v>6.9760833625730978</v>
      </c>
      <c r="F40" s="58">
        <f t="shared" si="2"/>
        <v>12.292468726445744</v>
      </c>
      <c r="G40" s="74">
        <f t="shared" si="6"/>
        <v>31</v>
      </c>
      <c r="H40" s="58">
        <f>(Calculateur!F$112-Calculateur!F$115+Calculateur!E$115*'Résultats-ergebnis'!G40)/Calculateur!F$53</f>
        <v>1.1770773430799217</v>
      </c>
      <c r="I40" s="58">
        <f t="shared" si="3"/>
        <v>5.8853867153996084</v>
      </c>
      <c r="J40" s="58">
        <f t="shared" si="5"/>
        <v>6.4853867153996081</v>
      </c>
      <c r="K40" s="58">
        <f t="shared" si="4"/>
        <v>11.801772079272254</v>
      </c>
      <c r="M40" s="58">
        <f>F$30+Feuil1!F5</f>
        <v>12.24887478882391</v>
      </c>
      <c r="N40" s="58">
        <f>Feuil1!F5*Variables!B$16</f>
        <v>3750</v>
      </c>
    </row>
    <row r="41" spans="1:15" x14ac:dyDescent="0.2">
      <c r="B41" s="74">
        <f t="shared" si="7"/>
        <v>40</v>
      </c>
      <c r="C41" s="58">
        <f>(Calculateur!F$112-Calculateur!F$115+Calculateur!E$115*'Résultats-ergebnis'!B41)/Calculateur!F$53</f>
        <v>1.2874840886939569</v>
      </c>
      <c r="D41" s="58">
        <f t="shared" si="0"/>
        <v>6.4374204434697848</v>
      </c>
      <c r="E41" s="58">
        <f t="shared" si="1"/>
        <v>7.0374204434697845</v>
      </c>
      <c r="F41" s="58">
        <f t="shared" si="2"/>
        <v>12.353805807342429</v>
      </c>
      <c r="G41" s="74">
        <f t="shared" si="6"/>
        <v>30</v>
      </c>
      <c r="H41" s="58">
        <f>(Calculateur!F$112-Calculateur!F$115+Calculateur!E$115*'Résultats-ergebnis'!G41)/Calculateur!F$53</f>
        <v>1.1648099269005845</v>
      </c>
      <c r="I41" s="58">
        <f t="shared" si="3"/>
        <v>5.8240496345029227</v>
      </c>
      <c r="J41" s="58">
        <f t="shared" si="5"/>
        <v>6.4240496345029223</v>
      </c>
      <c r="K41" s="58">
        <f t="shared" si="4"/>
        <v>11.740434998375566</v>
      </c>
      <c r="M41" s="58">
        <f>F$30+Feuil1!F6</f>
        <v>12.298874788823911</v>
      </c>
      <c r="N41" s="58">
        <f>Feuil1!F6*Variables!B$16</f>
        <v>4500</v>
      </c>
    </row>
    <row r="42" spans="1:15" x14ac:dyDescent="0.2">
      <c r="B42" s="74">
        <f t="shared" si="7"/>
        <v>41</v>
      </c>
      <c r="C42" s="58">
        <f>(Calculateur!F$112-Calculateur!F$115+Calculateur!E$115*'Résultats-ergebnis'!B42)/Calculateur!F$53</f>
        <v>1.2997515048732942</v>
      </c>
      <c r="D42" s="58">
        <f t="shared" si="0"/>
        <v>6.4987575243664706</v>
      </c>
      <c r="E42" s="58">
        <f t="shared" si="1"/>
        <v>7.0987575243664702</v>
      </c>
      <c r="F42" s="58">
        <f t="shared" si="2"/>
        <v>12.415142888239115</v>
      </c>
      <c r="G42" s="74">
        <f t="shared" si="6"/>
        <v>29</v>
      </c>
      <c r="H42" s="58">
        <f>(Calculateur!F$112-Calculateur!F$115+Calculateur!E$115*'Résultats-ergebnis'!G42)/Calculateur!F$53</f>
        <v>1.1525425107212475</v>
      </c>
      <c r="I42" s="58">
        <f t="shared" si="3"/>
        <v>5.7627125536062369</v>
      </c>
      <c r="J42" s="58">
        <f t="shared" si="5"/>
        <v>6.3627125536062366</v>
      </c>
      <c r="K42" s="58">
        <f t="shared" si="4"/>
        <v>11.679097917478881</v>
      </c>
      <c r="M42" s="58">
        <f>F$30+Feuil1!F7</f>
        <v>12.34887478882391</v>
      </c>
      <c r="N42" s="58">
        <f>Feuil1!F7*Variables!B$16</f>
        <v>5250</v>
      </c>
    </row>
    <row r="43" spans="1:15" x14ac:dyDescent="0.2">
      <c r="B43" s="74">
        <f t="shared" si="7"/>
        <v>42</v>
      </c>
      <c r="C43" s="58">
        <f>(Calculateur!F$112-Calculateur!F$115+Calculateur!E$115*'Résultats-ergebnis'!B43)/Calculateur!F$53</f>
        <v>1.3120189210526314</v>
      </c>
      <c r="D43" s="58">
        <f t="shared" si="0"/>
        <v>6.5600946052631572</v>
      </c>
      <c r="E43" s="58">
        <f t="shared" si="1"/>
        <v>7.1600946052631569</v>
      </c>
      <c r="F43" s="58">
        <f t="shared" si="2"/>
        <v>12.476479969135802</v>
      </c>
      <c r="G43" s="74">
        <f t="shared" si="6"/>
        <v>28</v>
      </c>
      <c r="H43" s="58">
        <f>(Calculateur!F$112-Calculateur!F$115+Calculateur!E$115*'Résultats-ergebnis'!G43)/Calculateur!F$53</f>
        <v>1.14027509454191</v>
      </c>
      <c r="I43" s="58">
        <f t="shared" si="3"/>
        <v>5.7013754727095503</v>
      </c>
      <c r="J43" s="58">
        <f t="shared" si="5"/>
        <v>6.3013754727095499</v>
      </c>
      <c r="K43" s="58">
        <f t="shared" si="4"/>
        <v>11.617760836582196</v>
      </c>
      <c r="M43" s="58">
        <f>F$30+Feuil1!F8</f>
        <v>12.39887478882391</v>
      </c>
      <c r="N43" s="58">
        <f>Feuil1!F8*Variables!B$16</f>
        <v>6000</v>
      </c>
    </row>
    <row r="44" spans="1:15" x14ac:dyDescent="0.2">
      <c r="B44" s="74">
        <f t="shared" si="7"/>
        <v>43</v>
      </c>
      <c r="C44" s="58">
        <f>(Calculateur!F$112-Calculateur!F$115+Calculateur!E$115*'Résultats-ergebnis'!B44)/Calculateur!F$53</f>
        <v>1.3242863372319684</v>
      </c>
      <c r="D44" s="58">
        <f t="shared" si="0"/>
        <v>6.6214316861598421</v>
      </c>
      <c r="E44" s="58">
        <f t="shared" si="1"/>
        <v>7.2214316861598418</v>
      </c>
      <c r="F44" s="58">
        <f t="shared" si="2"/>
        <v>12.537817050032487</v>
      </c>
      <c r="G44" s="74">
        <f t="shared" si="6"/>
        <v>27</v>
      </c>
      <c r="H44" s="58">
        <f>(Calculateur!F$112-Calculateur!F$115+Calculateur!E$115*'Résultats-ergebnis'!G44)/Calculateur!F$53</f>
        <v>1.128007678362573</v>
      </c>
      <c r="I44" s="58">
        <f t="shared" si="3"/>
        <v>5.6400383918128654</v>
      </c>
      <c r="J44" s="58">
        <f t="shared" si="5"/>
        <v>6.240038391812865</v>
      </c>
      <c r="K44" s="58">
        <f t="shared" si="4"/>
        <v>11.556423755685511</v>
      </c>
      <c r="M44" s="58">
        <f>F$30+Feuil1!F9</f>
        <v>12.448874788823909</v>
      </c>
      <c r="N44" s="58">
        <f>Feuil1!F9*Variables!B$16</f>
        <v>6750</v>
      </c>
    </row>
    <row r="45" spans="1:15" x14ac:dyDescent="0.2">
      <c r="B45" s="74">
        <f t="shared" si="7"/>
        <v>44</v>
      </c>
      <c r="C45" s="58">
        <f>(Calculateur!F$112-Calculateur!F$115+Calculateur!E$115*'Résultats-ergebnis'!B45)/Calculateur!F$53</f>
        <v>1.3365537534113059</v>
      </c>
      <c r="D45" s="58">
        <f t="shared" si="0"/>
        <v>6.6827687670565297</v>
      </c>
      <c r="E45" s="58">
        <f t="shared" si="1"/>
        <v>7.2827687670565293</v>
      </c>
      <c r="F45" s="58">
        <f t="shared" si="2"/>
        <v>12.599154130929175</v>
      </c>
      <c r="G45" s="74">
        <f t="shared" si="6"/>
        <v>26</v>
      </c>
      <c r="H45" s="58">
        <f>(Calculateur!F$112-Calculateur!F$115+Calculateur!E$115*'Résultats-ergebnis'!G45)/Calculateur!F$53</f>
        <v>1.1157402621832355</v>
      </c>
      <c r="I45" s="58">
        <f t="shared" si="3"/>
        <v>5.5787013109161778</v>
      </c>
      <c r="J45" s="58">
        <f t="shared" si="5"/>
        <v>6.1787013109161775</v>
      </c>
      <c r="K45" s="58">
        <f t="shared" si="4"/>
        <v>11.495086674788823</v>
      </c>
      <c r="M45" s="58">
        <f>F$30+Feuil1!F10</f>
        <v>12.49887478882391</v>
      </c>
      <c r="N45" s="58">
        <f>Feuil1!F10*Variables!B$16</f>
        <v>7500</v>
      </c>
    </row>
    <row r="46" spans="1:15" x14ac:dyDescent="0.2">
      <c r="B46" s="74">
        <f t="shared" si="7"/>
        <v>45</v>
      </c>
      <c r="C46" s="58">
        <f>(Calculateur!F$112-Calculateur!F$115+Calculateur!E$115*'Résultats-ergebnis'!B46)/Calculateur!F$53</f>
        <v>1.3488211695906431</v>
      </c>
      <c r="D46" s="58">
        <f t="shared" si="0"/>
        <v>6.7441058479532154</v>
      </c>
      <c r="E46" s="58">
        <f t="shared" si="1"/>
        <v>7.3441058479532151</v>
      </c>
      <c r="F46" s="58">
        <f t="shared" si="2"/>
        <v>12.66049121182586</v>
      </c>
      <c r="G46" s="74">
        <f t="shared" si="6"/>
        <v>25</v>
      </c>
      <c r="H46" s="58">
        <f>(Calculateur!F$112-Calculateur!F$115+Calculateur!E$115*'Résultats-ergebnis'!G46)/Calculateur!F$53</f>
        <v>1.1034728460038985</v>
      </c>
      <c r="I46" s="58">
        <f t="shared" si="3"/>
        <v>5.5173642300194921</v>
      </c>
      <c r="J46" s="58">
        <f t="shared" si="5"/>
        <v>6.1173642300194917</v>
      </c>
      <c r="K46" s="58">
        <f t="shared" si="4"/>
        <v>11.433749593892138</v>
      </c>
      <c r="M46" s="58">
        <f>F$30+Feuil1!F11</f>
        <v>12.548874788823911</v>
      </c>
      <c r="N46" s="58">
        <f>Feuil1!F11*Variables!B$16</f>
        <v>8250</v>
      </c>
    </row>
    <row r="47" spans="1:15" x14ac:dyDescent="0.2">
      <c r="B47" s="74">
        <f t="shared" si="7"/>
        <v>46</v>
      </c>
      <c r="C47" s="58">
        <f>(Calculateur!F$112-Calculateur!F$115+Calculateur!E$115*'Résultats-ergebnis'!B47)/Calculateur!F$53</f>
        <v>1.3610885857699804</v>
      </c>
      <c r="D47" s="58">
        <f t="shared" si="0"/>
        <v>6.8054429288499021</v>
      </c>
      <c r="E47" s="58">
        <f t="shared" si="1"/>
        <v>7.4054429288499017</v>
      </c>
      <c r="F47" s="58">
        <f t="shared" si="2"/>
        <v>12.721828292722547</v>
      </c>
      <c r="G47" s="74">
        <f t="shared" si="6"/>
        <v>24</v>
      </c>
      <c r="H47" s="58">
        <f>(Calculateur!F$112-Calculateur!F$115+Calculateur!E$115*'Résultats-ergebnis'!G47)/Calculateur!F$53</f>
        <v>1.0912054298245613</v>
      </c>
      <c r="I47" s="58">
        <f t="shared" si="3"/>
        <v>5.4560271491228063</v>
      </c>
      <c r="J47" s="58">
        <f t="shared" si="5"/>
        <v>6.0560271491228059</v>
      </c>
      <c r="K47" s="58">
        <f t="shared" si="4"/>
        <v>11.372412512995449</v>
      </c>
      <c r="M47" s="58">
        <f>F$30+Feuil1!F12</f>
        <v>12.59887478882391</v>
      </c>
      <c r="N47" s="58">
        <f>Feuil1!F12*Variables!B$16</f>
        <v>9000</v>
      </c>
    </row>
    <row r="48" spans="1:15" x14ac:dyDescent="0.2">
      <c r="B48" s="74">
        <f t="shared" si="7"/>
        <v>47</v>
      </c>
      <c r="C48" s="58">
        <f>(Calculateur!F$112-Calculateur!F$115+Calculateur!E$115*'Résultats-ergebnis'!B48)/Calculateur!F$53</f>
        <v>1.3733560019493174</v>
      </c>
      <c r="D48" s="58">
        <f t="shared" si="0"/>
        <v>6.866780009746587</v>
      </c>
      <c r="E48" s="58">
        <f t="shared" si="1"/>
        <v>7.4667800097465866</v>
      </c>
      <c r="F48" s="58">
        <f t="shared" si="2"/>
        <v>12.783165373619232</v>
      </c>
      <c r="G48" s="74">
        <f t="shared" si="6"/>
        <v>23</v>
      </c>
      <c r="H48" s="58">
        <f>(Calculateur!F$112-Calculateur!F$115+Calculateur!E$115*'Résultats-ergebnis'!G48)/Calculateur!F$53</f>
        <v>1.078938013645224</v>
      </c>
      <c r="I48" s="58">
        <f t="shared" si="3"/>
        <v>5.3946900682261205</v>
      </c>
      <c r="J48" s="58">
        <f t="shared" si="5"/>
        <v>5.9946900682261202</v>
      </c>
      <c r="K48" s="58">
        <f t="shared" si="4"/>
        <v>11.311075432098765</v>
      </c>
      <c r="M48" s="58">
        <f>F$30+Feuil1!F13</f>
        <v>12.64887478882391</v>
      </c>
      <c r="N48" s="58">
        <f>Feuil1!F14*Variables!B$16</f>
        <v>10500</v>
      </c>
    </row>
    <row r="49" spans="2:14" x14ac:dyDescent="0.2">
      <c r="B49" s="74">
        <f t="shared" si="7"/>
        <v>48</v>
      </c>
      <c r="C49" s="58">
        <f>(Calculateur!F$112-Calculateur!F$115+Calculateur!E$115*'Résultats-ergebnis'!B49)/Calculateur!F$53</f>
        <v>1.3856234181286546</v>
      </c>
      <c r="D49" s="58">
        <f t="shared" si="0"/>
        <v>6.9281170906432727</v>
      </c>
      <c r="E49" s="58">
        <f t="shared" si="1"/>
        <v>7.5281170906432724</v>
      </c>
      <c r="F49" s="58">
        <f t="shared" si="2"/>
        <v>12.844502454515919</v>
      </c>
      <c r="G49" s="74">
        <f t="shared" si="6"/>
        <v>22</v>
      </c>
      <c r="H49" s="58">
        <f>(Calculateur!F$112-Calculateur!F$115+Calculateur!E$115*'Résultats-ergebnis'!G49)/Calculateur!F$53</f>
        <v>1.0666705974658868</v>
      </c>
      <c r="I49" s="58">
        <f t="shared" si="3"/>
        <v>5.3333529873294339</v>
      </c>
      <c r="J49" s="58">
        <f t="shared" si="5"/>
        <v>5.9333529873294335</v>
      </c>
      <c r="K49" s="58">
        <f t="shared" si="4"/>
        <v>11.24973835120208</v>
      </c>
      <c r="M49" s="58">
        <f>F$30+Feuil1!F14</f>
        <v>12.698874788823909</v>
      </c>
      <c r="N49" s="58">
        <f>Feuil1!F15*Variables!B$16</f>
        <v>11250</v>
      </c>
    </row>
    <row r="50" spans="2:14" x14ac:dyDescent="0.2">
      <c r="B50" s="74">
        <f t="shared" si="7"/>
        <v>49</v>
      </c>
      <c r="C50" s="58">
        <f>(Calculateur!F$112-Calculateur!F$115+Calculateur!E$115*'Résultats-ergebnis'!B50)/Calculateur!F$53</f>
        <v>1.3978908343079921</v>
      </c>
      <c r="D50" s="58">
        <f t="shared" si="0"/>
        <v>6.9894541715399603</v>
      </c>
      <c r="E50" s="58">
        <f t="shared" si="1"/>
        <v>7.5894541715399599</v>
      </c>
      <c r="F50" s="58">
        <f t="shared" si="2"/>
        <v>12.905839535412605</v>
      </c>
      <c r="G50" s="74">
        <f t="shared" si="6"/>
        <v>21</v>
      </c>
      <c r="H50" s="58">
        <f>(Calculateur!F$112-Calculateur!F$115+Calculateur!E$115*'Résultats-ergebnis'!G50)/Calculateur!F$53</f>
        <v>1.0544031812865493</v>
      </c>
      <c r="I50" s="58">
        <f t="shared" si="3"/>
        <v>5.2720159064327463</v>
      </c>
      <c r="J50" s="58">
        <f t="shared" si="5"/>
        <v>5.872015906432746</v>
      </c>
      <c r="K50" s="58">
        <f t="shared" si="4"/>
        <v>11.188401270305391</v>
      </c>
      <c r="M50" s="58">
        <f>F$30+Feuil1!F15</f>
        <v>12.74887478882391</v>
      </c>
      <c r="N50" s="58">
        <f>Feuil1!F16*Variables!B$16</f>
        <v>12000</v>
      </c>
    </row>
    <row r="51" spans="2:14" x14ac:dyDescent="0.2">
      <c r="B51" s="74">
        <f t="shared" si="7"/>
        <v>50</v>
      </c>
      <c r="C51" s="58">
        <f>(Calculateur!F$112-Calculateur!F$115+Calculateur!E$115*'Résultats-ergebnis'!B51)/Calculateur!F$53</f>
        <v>1.4101582504873293</v>
      </c>
      <c r="D51" s="58">
        <f t="shared" si="0"/>
        <v>7.0507912524366469</v>
      </c>
      <c r="E51" s="58">
        <f t="shared" si="1"/>
        <v>7.6507912524366466</v>
      </c>
      <c r="F51" s="58">
        <f t="shared" si="2"/>
        <v>12.967176616309292</v>
      </c>
      <c r="G51" s="74">
        <f t="shared" si="6"/>
        <v>20</v>
      </c>
      <c r="H51" s="58">
        <f>(Calculateur!F$112-Calculateur!F$115+Calculateur!E$115*'Résultats-ergebnis'!G51)/Calculateur!F$53</f>
        <v>1.0421357651072123</v>
      </c>
      <c r="I51" s="58">
        <f t="shared" si="3"/>
        <v>5.2106788255360614</v>
      </c>
      <c r="J51" s="58">
        <f t="shared" si="5"/>
        <v>5.8106788255360611</v>
      </c>
      <c r="K51" s="58">
        <f t="shared" si="4"/>
        <v>11.127064189408706</v>
      </c>
      <c r="M51" s="58">
        <f>F$30+Feuil1!F16</f>
        <v>12.798874788823911</v>
      </c>
      <c r="N51" s="58">
        <f>Feuil1!F17*Variables!B$16</f>
        <v>12750</v>
      </c>
    </row>
    <row r="52" spans="2:14" x14ac:dyDescent="0.2">
      <c r="B52" s="74">
        <f t="shared" si="7"/>
        <v>51</v>
      </c>
      <c r="C52" s="58">
        <f>(Calculateur!F$112-Calculateur!F$115+Calculateur!E$115*'Résultats-ergebnis'!B52)/Calculateur!F$53</f>
        <v>1.4224256666666666</v>
      </c>
      <c r="D52" s="58">
        <f t="shared" si="0"/>
        <v>7.1121283333333327</v>
      </c>
      <c r="E52" s="58">
        <f t="shared" si="1"/>
        <v>7.7121283333333324</v>
      </c>
      <c r="F52" s="58">
        <f t="shared" si="2"/>
        <v>13.028513697205977</v>
      </c>
      <c r="G52" s="74">
        <f t="shared" si="6"/>
        <v>19</v>
      </c>
      <c r="H52" s="58">
        <f>(Calculateur!F$112-Calculateur!F$115+Calculateur!E$115*'Résultats-ergebnis'!G52)/Calculateur!F$53</f>
        <v>1.029868348927875</v>
      </c>
      <c r="I52" s="58">
        <f t="shared" si="3"/>
        <v>5.1493417446393757</v>
      </c>
      <c r="J52" s="58">
        <f t="shared" si="5"/>
        <v>5.7493417446393753</v>
      </c>
      <c r="K52" s="58">
        <f t="shared" si="4"/>
        <v>11.065727108512021</v>
      </c>
      <c r="M52" s="58">
        <f>F$30+Feuil1!F17</f>
        <v>12.84887478882391</v>
      </c>
      <c r="N52" s="58">
        <f>Feuil1!F18*Variables!B$16</f>
        <v>13500</v>
      </c>
    </row>
    <row r="53" spans="2:14" x14ac:dyDescent="0.2">
      <c r="B53" s="74">
        <f t="shared" si="7"/>
        <v>52</v>
      </c>
      <c r="C53" s="58">
        <f>(Calculateur!F$112-Calculateur!F$115+Calculateur!E$115*'Résultats-ergebnis'!B53)/Calculateur!F$53</f>
        <v>1.4346930828460036</v>
      </c>
      <c r="D53" s="58">
        <f t="shared" si="0"/>
        <v>7.1734654142300176</v>
      </c>
      <c r="E53" s="58">
        <f t="shared" si="1"/>
        <v>7.7734654142300172</v>
      </c>
      <c r="F53" s="58">
        <f t="shared" si="2"/>
        <v>13.089850778102662</v>
      </c>
      <c r="G53" s="74">
        <f t="shared" si="6"/>
        <v>18</v>
      </c>
      <c r="H53" s="58">
        <f>(Calculateur!F$112-Calculateur!F$115+Calculateur!E$115*'Résultats-ergebnis'!G53)/Calculateur!F$53</f>
        <v>1.0176009327485378</v>
      </c>
      <c r="I53" s="58">
        <f t="shared" si="3"/>
        <v>5.088004663742689</v>
      </c>
      <c r="J53" s="58">
        <f t="shared" si="5"/>
        <v>5.6880046637426886</v>
      </c>
      <c r="K53" s="58">
        <f t="shared" si="4"/>
        <v>11.004390027615333</v>
      </c>
      <c r="M53" s="58">
        <f>F$30+Feuil1!F18</f>
        <v>12.89887478882391</v>
      </c>
      <c r="N53" s="58">
        <f>Feuil1!F19*Variables!B$16</f>
        <v>14250</v>
      </c>
    </row>
    <row r="54" spans="2:14" x14ac:dyDescent="0.2">
      <c r="B54" s="74">
        <f t="shared" si="7"/>
        <v>53</v>
      </c>
      <c r="C54" s="58">
        <f>(Calculateur!F$112-Calculateur!F$115+Calculateur!E$115*'Résultats-ergebnis'!B54)/Calculateur!F$53</f>
        <v>1.4469604990253409</v>
      </c>
      <c r="D54" s="58">
        <f t="shared" si="0"/>
        <v>7.2348024951267043</v>
      </c>
      <c r="E54" s="58">
        <f t="shared" si="1"/>
        <v>7.8348024951267039</v>
      </c>
      <c r="F54" s="58">
        <f t="shared" si="2"/>
        <v>13.15118785899935</v>
      </c>
      <c r="G54" s="74">
        <f t="shared" si="6"/>
        <v>17</v>
      </c>
      <c r="H54" s="58">
        <f>(Calculateur!F$112-Calculateur!F$115+Calculateur!E$115*'Résultats-ergebnis'!G54)/Calculateur!F$53</f>
        <v>1.0053335165692006</v>
      </c>
      <c r="I54" s="58">
        <f t="shared" si="3"/>
        <v>5.0266675828460023</v>
      </c>
      <c r="J54" s="58">
        <f t="shared" si="5"/>
        <v>5.626667582846002</v>
      </c>
      <c r="K54" s="58">
        <f t="shared" si="4"/>
        <v>10.943052946718648</v>
      </c>
      <c r="M54" s="58">
        <f>F$30+Feuil1!F19</f>
        <v>12.948874788823909</v>
      </c>
      <c r="N54" s="58">
        <f>Feuil1!F20*Variables!B$16</f>
        <v>15000</v>
      </c>
    </row>
    <row r="55" spans="2:14" x14ac:dyDescent="0.2">
      <c r="B55" s="74">
        <f t="shared" si="7"/>
        <v>54</v>
      </c>
      <c r="C55" s="58">
        <f>(Calculateur!F$112-Calculateur!F$115+Calculateur!E$115*'Résultats-ergebnis'!B55)/Calculateur!F$53</f>
        <v>1.4592279152046783</v>
      </c>
      <c r="D55" s="58">
        <f t="shared" si="0"/>
        <v>7.2961395760233918</v>
      </c>
      <c r="E55" s="58">
        <f t="shared" si="1"/>
        <v>7.8961395760233914</v>
      </c>
      <c r="F55" s="58">
        <f t="shared" si="2"/>
        <v>13.212524939896037</v>
      </c>
      <c r="G55" s="74">
        <f t="shared" si="6"/>
        <v>16</v>
      </c>
      <c r="H55" s="58">
        <f>(Calculateur!F$112-Calculateur!F$115+Calculateur!E$115*'Résultats-ergebnis'!G55)/Calculateur!F$53</f>
        <v>0.99306610038986332</v>
      </c>
      <c r="I55" s="58">
        <f t="shared" si="3"/>
        <v>4.9653305019493166</v>
      </c>
      <c r="J55" s="58">
        <f t="shared" si="5"/>
        <v>5.5653305019493162</v>
      </c>
      <c r="K55" s="58">
        <f t="shared" si="4"/>
        <v>10.88171586582196</v>
      </c>
      <c r="M55" s="58">
        <f>F$30+Feuil1!F20</f>
        <v>12.99887478882391</v>
      </c>
      <c r="N55" s="58">
        <f>Feuil1!F21*Variables!B$16</f>
        <v>15750</v>
      </c>
    </row>
    <row r="56" spans="2:14" x14ac:dyDescent="0.2">
      <c r="B56" s="74">
        <f t="shared" si="7"/>
        <v>55</v>
      </c>
      <c r="C56" s="58">
        <f>(Calculateur!F$112-Calculateur!F$115+Calculateur!E$115*'Résultats-ergebnis'!B56)/Calculateur!F$53</f>
        <v>1.4714953313840151</v>
      </c>
      <c r="D56" s="58">
        <f t="shared" si="0"/>
        <v>7.3574766569200758</v>
      </c>
      <c r="E56" s="58">
        <f t="shared" si="1"/>
        <v>7.9574766569200754</v>
      </c>
      <c r="F56" s="58">
        <f t="shared" si="2"/>
        <v>13.27386202079272</v>
      </c>
      <c r="G56" s="74">
        <f t="shared" si="6"/>
        <v>15</v>
      </c>
      <c r="H56" s="58">
        <f>(Calculateur!F$112-Calculateur!F$115+Calculateur!E$115*'Résultats-ergebnis'!G56)/Calculateur!F$53</f>
        <v>0.98079868421052607</v>
      </c>
      <c r="I56" s="58">
        <f t="shared" si="3"/>
        <v>4.9039934210526308</v>
      </c>
      <c r="J56" s="58">
        <f t="shared" si="5"/>
        <v>5.5039934210526305</v>
      </c>
      <c r="K56" s="58">
        <f t="shared" si="4"/>
        <v>10.820378784925275</v>
      </c>
      <c r="M56" s="58">
        <f>F$30+Feuil1!F21</f>
        <v>13.048874788823911</v>
      </c>
      <c r="N56" s="58">
        <f>Feuil1!F22*Variables!B$16</f>
        <v>16500</v>
      </c>
    </row>
    <row r="57" spans="2:14" x14ac:dyDescent="0.2">
      <c r="B57" s="74">
        <f t="shared" si="7"/>
        <v>56</v>
      </c>
      <c r="C57" s="58">
        <f>(Calculateur!F$112-Calculateur!F$115+Calculateur!E$115*'Résultats-ergebnis'!B57)/Calculateur!F$53</f>
        <v>1.4837627475633526</v>
      </c>
      <c r="D57" s="58">
        <f t="shared" si="0"/>
        <v>7.4188137378167625</v>
      </c>
      <c r="E57" s="58">
        <f t="shared" si="1"/>
        <v>8.0188137378167621</v>
      </c>
      <c r="F57" s="58">
        <f t="shared" si="2"/>
        <v>13.335199101689408</v>
      </c>
      <c r="G57" s="74">
        <f t="shared" si="6"/>
        <v>14</v>
      </c>
      <c r="H57" s="58">
        <f>(Calculateur!F$112-Calculateur!F$115+Calculateur!E$115*'Résultats-ergebnis'!G57)/Calculateur!F$53</f>
        <v>0.96853126803118894</v>
      </c>
      <c r="I57" s="58">
        <f t="shared" si="3"/>
        <v>4.842656340155945</v>
      </c>
      <c r="J57" s="58">
        <f t="shared" si="5"/>
        <v>5.4426563401559447</v>
      </c>
      <c r="K57" s="58">
        <f t="shared" si="4"/>
        <v>10.75904170402859</v>
      </c>
      <c r="M57" s="58">
        <f>F$30+Feuil1!F22</f>
        <v>13.09887478882391</v>
      </c>
      <c r="N57" s="58">
        <f>Feuil1!F23*Variables!B$16</f>
        <v>17250</v>
      </c>
    </row>
    <row r="58" spans="2:14" x14ac:dyDescent="0.2">
      <c r="B58" s="74">
        <f t="shared" ref="B58:B66" si="8">B57+1</f>
        <v>57</v>
      </c>
      <c r="C58" s="58">
        <f>(Calculateur!F$112-Calculateur!F$115+Calculateur!E$115*'Résultats-ergebnis'!B58)/Calculateur!F$53</f>
        <v>1.4960301637426898</v>
      </c>
      <c r="D58" s="58">
        <f t="shared" ref="D58:D66" si="9">C58*D$30</f>
        <v>7.4801508187134491</v>
      </c>
      <c r="E58" s="58">
        <f t="shared" ref="E58:E66" si="10">D58+B$11</f>
        <v>8.0801508187134488</v>
      </c>
      <c r="F58" s="58">
        <f t="shared" ref="F58:F66" si="11">D58+G$23*D$30+G$25*D$30</f>
        <v>13.396536182586093</v>
      </c>
      <c r="G58" s="74">
        <f t="shared" ref="G58:G65" si="12">G57-1</f>
        <v>13</v>
      </c>
      <c r="H58" s="58">
        <f>(Calculateur!F$112-Calculateur!F$115+Calculateur!E$115*'Résultats-ergebnis'!G58)/Calculateur!F$53</f>
        <v>0.95626385185185159</v>
      </c>
      <c r="I58" s="58">
        <f t="shared" ref="I58:I64" si="13">H58*D$30</f>
        <v>4.7813192592592575</v>
      </c>
      <c r="J58" s="58">
        <f t="shared" ref="J58:J65" si="14">I58+B$11</f>
        <v>5.3813192592592571</v>
      </c>
      <c r="K58" s="58">
        <f t="shared" ref="K58:K64" si="15">I58+G$25*D$30+G$23*D$30</f>
        <v>10.697704623131902</v>
      </c>
      <c r="M58" s="58">
        <f>F$30+Feuil1!F23</f>
        <v>13.14887478882391</v>
      </c>
      <c r="N58" s="58">
        <f>Feuil1!F24*Variables!B$16</f>
        <v>18000</v>
      </c>
    </row>
    <row r="59" spans="2:14" x14ac:dyDescent="0.2">
      <c r="B59" s="74">
        <f t="shared" si="8"/>
        <v>58</v>
      </c>
      <c r="C59" s="58">
        <f>(Calculateur!F$112-Calculateur!F$115+Calculateur!E$115*'Résultats-ergebnis'!B59)/Calculateur!F$53</f>
        <v>1.5082975799220271</v>
      </c>
      <c r="D59" s="58">
        <f t="shared" si="9"/>
        <v>7.5414878996101358</v>
      </c>
      <c r="E59" s="58">
        <f t="shared" si="10"/>
        <v>8.1414878996101354</v>
      </c>
      <c r="F59" s="58">
        <f t="shared" si="11"/>
        <v>13.457873263482782</v>
      </c>
      <c r="G59" s="74">
        <f t="shared" si="12"/>
        <v>12</v>
      </c>
      <c r="H59" s="58">
        <f>(Calculateur!F$112-Calculateur!F$115+Calculateur!E$115*'Résultats-ergebnis'!G59)/Calculateur!F$53</f>
        <v>0.94399643567251434</v>
      </c>
      <c r="I59" s="58">
        <f t="shared" si="13"/>
        <v>4.7199821783625717</v>
      </c>
      <c r="J59" s="58">
        <f t="shared" si="14"/>
        <v>5.3199821783625714</v>
      </c>
      <c r="K59" s="58">
        <f t="shared" si="15"/>
        <v>10.636367542235217</v>
      </c>
      <c r="M59" s="58">
        <f>F$30+Feuil1!F24</f>
        <v>13.198874788823909</v>
      </c>
      <c r="N59" s="58">
        <f>Feuil1!F25*Variables!B$16</f>
        <v>18750</v>
      </c>
    </row>
    <row r="60" spans="2:14" x14ac:dyDescent="0.2">
      <c r="B60" s="74">
        <f t="shared" si="8"/>
        <v>59</v>
      </c>
      <c r="C60" s="58">
        <f>(Calculateur!F$112-Calculateur!F$115+Calculateur!E$115*'Résultats-ergebnis'!B60)/Calculateur!F$53</f>
        <v>1.5205649961013645</v>
      </c>
      <c r="D60" s="58">
        <f t="shared" si="9"/>
        <v>7.6028249805068224</v>
      </c>
      <c r="E60" s="58">
        <f t="shared" si="10"/>
        <v>8.2028249805068221</v>
      </c>
      <c r="F60" s="58">
        <f t="shared" si="11"/>
        <v>13.519210344379466</v>
      </c>
      <c r="G60" s="74">
        <f t="shared" si="12"/>
        <v>11</v>
      </c>
      <c r="H60" s="58">
        <f>(Calculateur!F$112-Calculateur!F$115+Calculateur!E$115*'Résultats-ergebnis'!G60)/Calculateur!F$53</f>
        <v>0.9317290194931771</v>
      </c>
      <c r="I60" s="58">
        <f t="shared" si="13"/>
        <v>4.658645097465886</v>
      </c>
      <c r="J60" s="58">
        <f t="shared" si="14"/>
        <v>5.2586450974658856</v>
      </c>
      <c r="K60" s="58">
        <f t="shared" si="15"/>
        <v>10.575030461338532</v>
      </c>
      <c r="M60" s="58">
        <f>F$30+Feuil1!F25</f>
        <v>13.24887478882391</v>
      </c>
      <c r="N60" s="58">
        <f>Feuil1!F26*Variables!B$16</f>
        <v>19500</v>
      </c>
    </row>
    <row r="61" spans="2:14" x14ac:dyDescent="0.2">
      <c r="B61" s="74">
        <f t="shared" si="8"/>
        <v>60</v>
      </c>
      <c r="C61" s="58">
        <f>(Calculateur!F$112-Calculateur!F$115+Calculateur!E$115*'Résultats-ergebnis'!B61)/Calculateur!F$53</f>
        <v>1.5328324122807018</v>
      </c>
      <c r="D61" s="58">
        <f t="shared" si="9"/>
        <v>7.6641620614035091</v>
      </c>
      <c r="E61" s="58">
        <f t="shared" si="10"/>
        <v>8.2641620614035087</v>
      </c>
      <c r="F61" s="58">
        <f t="shared" si="11"/>
        <v>13.580547425276155</v>
      </c>
      <c r="G61" s="74">
        <f t="shared" si="12"/>
        <v>10</v>
      </c>
      <c r="H61" s="58">
        <f>(Calculateur!F$112-Calculateur!F$115+Calculateur!E$115*'Résultats-ergebnis'!G61)/Calculateur!F$53</f>
        <v>0.91946160331383997</v>
      </c>
      <c r="I61" s="58">
        <f t="shared" si="13"/>
        <v>4.5973080165692002</v>
      </c>
      <c r="J61" s="58">
        <f t="shared" si="14"/>
        <v>5.1973080165691998</v>
      </c>
      <c r="K61" s="58">
        <f t="shared" si="15"/>
        <v>10.513693380441843</v>
      </c>
      <c r="M61" s="58">
        <f>F$30+Feuil1!F26</f>
        <v>13.298874788823911</v>
      </c>
      <c r="N61" s="58">
        <f>Feuil1!F27*Variables!B$16</f>
        <v>20250</v>
      </c>
    </row>
    <row r="62" spans="2:14" x14ac:dyDescent="0.2">
      <c r="B62" s="74">
        <f t="shared" si="8"/>
        <v>61</v>
      </c>
      <c r="C62" s="58">
        <f>(Calculateur!F$112-Calculateur!F$115+Calculateur!E$115*'Résultats-ergebnis'!B62)/Calculateur!F$53</f>
        <v>1.5450998284600388</v>
      </c>
      <c r="D62" s="58">
        <f t="shared" si="9"/>
        <v>7.725499142300194</v>
      </c>
      <c r="E62" s="58">
        <f t="shared" si="10"/>
        <v>8.3254991423001936</v>
      </c>
      <c r="F62" s="58">
        <f t="shared" si="11"/>
        <v>13.64188450617284</v>
      </c>
      <c r="G62" s="74">
        <f t="shared" si="12"/>
        <v>9</v>
      </c>
      <c r="H62" s="58">
        <f>(Calculateur!F$112-Calculateur!F$115+Calculateur!E$115*'Résultats-ergebnis'!G62)/Calculateur!F$53</f>
        <v>0.90719418713450273</v>
      </c>
      <c r="I62" s="58">
        <f t="shared" si="13"/>
        <v>4.5359709356725135</v>
      </c>
      <c r="J62" s="58">
        <f t="shared" si="14"/>
        <v>5.1359709356725132</v>
      </c>
      <c r="K62" s="58">
        <f t="shared" si="15"/>
        <v>10.452356299545158</v>
      </c>
      <c r="M62" s="58">
        <f>F$30+Feuil1!F27</f>
        <v>13.34887478882391</v>
      </c>
      <c r="N62" s="58">
        <f>Feuil1!F28*Variables!B$16</f>
        <v>21000</v>
      </c>
    </row>
    <row r="63" spans="2:14" x14ac:dyDescent="0.2">
      <c r="B63" s="74">
        <f t="shared" si="8"/>
        <v>62</v>
      </c>
      <c r="C63" s="58">
        <f>(Calculateur!F$112-Calculateur!F$115+Calculateur!E$115*'Résultats-ergebnis'!B63)/Calculateur!F$53</f>
        <v>1.557367244639376</v>
      </c>
      <c r="D63" s="58">
        <f t="shared" si="9"/>
        <v>7.7868362231968806</v>
      </c>
      <c r="E63" s="58">
        <f t="shared" si="10"/>
        <v>8.3868362231968803</v>
      </c>
      <c r="F63" s="58">
        <f t="shared" si="11"/>
        <v>13.703221587069525</v>
      </c>
      <c r="G63" s="74">
        <f t="shared" si="12"/>
        <v>8</v>
      </c>
      <c r="H63" s="58">
        <f>(Calculateur!F$112-Calculateur!F$115+Calculateur!E$115*'Résultats-ergebnis'!G63)/Calculateur!F$53</f>
        <v>0.89492677095516537</v>
      </c>
      <c r="I63" s="58">
        <f t="shared" si="13"/>
        <v>4.4746338547758269</v>
      </c>
      <c r="J63" s="58">
        <f t="shared" si="14"/>
        <v>5.0746338547758265</v>
      </c>
      <c r="K63" s="58">
        <f t="shared" si="15"/>
        <v>10.39101921864847</v>
      </c>
      <c r="M63" s="58">
        <f>F$30+Feuil1!F28</f>
        <v>13.39887478882391</v>
      </c>
      <c r="N63" s="58">
        <f>Feuil1!F29*Variables!B$16</f>
        <v>21750</v>
      </c>
    </row>
    <row r="64" spans="2:14" x14ac:dyDescent="0.2">
      <c r="B64" s="74">
        <f t="shared" si="8"/>
        <v>63</v>
      </c>
      <c r="C64" s="58">
        <f>(Calculateur!F$112-Calculateur!F$115+Calculateur!E$115*'Résultats-ergebnis'!B64)/Calculateur!F$53</f>
        <v>1.5696346608187131</v>
      </c>
      <c r="D64" s="58">
        <f t="shared" si="9"/>
        <v>7.8481733040935655</v>
      </c>
      <c r="E64" s="58">
        <f t="shared" si="10"/>
        <v>8.4481733040935652</v>
      </c>
      <c r="F64" s="58">
        <f t="shared" si="11"/>
        <v>13.76455866796621</v>
      </c>
      <c r="G64" s="74">
        <f t="shared" si="12"/>
        <v>7</v>
      </c>
      <c r="H64" s="58">
        <f>(Calculateur!F$112-Calculateur!F$115+Calculateur!E$115*'Résultats-ergebnis'!G64)/Calculateur!F$53</f>
        <v>0.88265935477582824</v>
      </c>
      <c r="I64" s="58">
        <f t="shared" si="13"/>
        <v>4.4132967738791411</v>
      </c>
      <c r="J64" s="58">
        <f t="shared" si="14"/>
        <v>5.0132967738791407</v>
      </c>
      <c r="K64" s="58">
        <f t="shared" si="15"/>
        <v>10.329682137751785</v>
      </c>
      <c r="M64" s="58">
        <f>F$30+Feuil1!F29</f>
        <v>13.448874788823909</v>
      </c>
      <c r="N64" s="58">
        <f>Feuil1!F30*Variables!B$16</f>
        <v>22500</v>
      </c>
    </row>
    <row r="65" spans="2:14" x14ac:dyDescent="0.2">
      <c r="B65" s="74">
        <f t="shared" si="8"/>
        <v>64</v>
      </c>
      <c r="C65" s="58">
        <f>(Calculateur!F$112-Calculateur!F$115+Calculateur!E$115*'Résultats-ergebnis'!B65)/Calculateur!F$53</f>
        <v>1.5819020769980503</v>
      </c>
      <c r="D65" s="58">
        <f t="shared" si="9"/>
        <v>7.9095103849902513</v>
      </c>
      <c r="E65" s="58">
        <f t="shared" si="10"/>
        <v>8.5095103849902518</v>
      </c>
      <c r="F65" s="58">
        <f t="shared" si="11"/>
        <v>13.825895748862896</v>
      </c>
      <c r="G65" s="74">
        <f t="shared" si="12"/>
        <v>6</v>
      </c>
      <c r="H65" s="58">
        <f>(Calculateur!F$112-Calculateur!F$115+Calculateur!E$115*'Résultats-ergebnis'!G65)/Calculateur!F$53</f>
        <v>0.870391938596491</v>
      </c>
      <c r="I65" s="58">
        <f>H65*D$30</f>
        <v>4.3519596929824553</v>
      </c>
      <c r="J65" s="58">
        <f t="shared" si="14"/>
        <v>4.951959692982455</v>
      </c>
      <c r="K65" s="58">
        <f>I65+G$25*D$30+G$23*D$30</f>
        <v>10.2683450568551</v>
      </c>
      <c r="M65" s="58">
        <f>F$30+Feuil1!F30</f>
        <v>13.49887478882391</v>
      </c>
      <c r="N65" s="58">
        <f>Feuil1!F31*Variables!B$16</f>
        <v>23250</v>
      </c>
    </row>
    <row r="66" spans="2:14" x14ac:dyDescent="0.2">
      <c r="B66" s="74">
        <f t="shared" si="8"/>
        <v>65</v>
      </c>
      <c r="C66" s="58">
        <f>(Calculateur!F$112-Calculateur!F$115+Calculateur!E$115*'Résultats-ergebnis'!B66)/Calculateur!F$53</f>
        <v>1.5941694931773875</v>
      </c>
      <c r="D66" s="58">
        <f t="shared" si="9"/>
        <v>7.9708474658869379</v>
      </c>
      <c r="E66" s="58">
        <f t="shared" si="10"/>
        <v>8.5708474658869385</v>
      </c>
      <c r="F66" s="58">
        <f t="shared" si="11"/>
        <v>13.887232829759583</v>
      </c>
      <c r="G66" s="74">
        <f t="shared" ref="G66" si="16">G65-1</f>
        <v>5</v>
      </c>
      <c r="H66" s="58">
        <f>(Calculateur!F$112-Calculateur!F$115+Calculateur!E$115*'Résultats-ergebnis'!G66)/Calculateur!F$53</f>
        <v>0.85812452241715376</v>
      </c>
      <c r="I66" s="58">
        <f t="shared" ref="I66" si="17">H66*D$30</f>
        <v>4.2906226120857687</v>
      </c>
      <c r="J66" s="58">
        <f t="shared" ref="J66" si="18">I66+B$11</f>
        <v>4.8906226120857683</v>
      </c>
      <c r="K66" s="58">
        <f t="shared" ref="K66" si="19">I66+G$25*D$30+G$23*D$30</f>
        <v>10.207007975958412</v>
      </c>
      <c r="M66" s="58">
        <f>F$30+Feuil1!F31</f>
        <v>13.548874788823911</v>
      </c>
      <c r="N66" s="58">
        <f>Feuil1!F32*Variables!B$16</f>
        <v>24000</v>
      </c>
    </row>
    <row r="67" spans="2:14" x14ac:dyDescent="0.2">
      <c r="M67" s="58">
        <f>F$30+Feuil1!F32</f>
        <v>13.59887478882391</v>
      </c>
      <c r="N67" s="58">
        <f>Feuil1!F34*Variables!B$16</f>
        <v>25500</v>
      </c>
    </row>
    <row r="68" spans="2:14" x14ac:dyDescent="0.2">
      <c r="M68" s="58">
        <f>F$30+Feuil1!F33</f>
        <v>13.64887478882391</v>
      </c>
      <c r="N68" s="58">
        <f>Feuil1!F35*Variables!B$16</f>
        <v>26250</v>
      </c>
    </row>
    <row r="69" spans="2:14" x14ac:dyDescent="0.2">
      <c r="M69" s="58">
        <f>F$30+Feuil1!F34</f>
        <v>13.698874788823909</v>
      </c>
      <c r="N69" s="58">
        <f>Feuil1!F36*Variables!B$16</f>
        <v>27000</v>
      </c>
    </row>
    <row r="70" spans="2:14" x14ac:dyDescent="0.2">
      <c r="M70" s="58">
        <f>F$30+Feuil1!F35</f>
        <v>13.74887478882391</v>
      </c>
      <c r="N70" s="58">
        <f>Feuil1!F37*Variables!B$16</f>
        <v>27750</v>
      </c>
    </row>
    <row r="71" spans="2:14" x14ac:dyDescent="0.2">
      <c r="M71" s="58">
        <f>F$30+Feuil1!F36</f>
        <v>13.798874788823911</v>
      </c>
      <c r="N71" s="58">
        <f>Feuil1!F38*Variables!B$16</f>
        <v>28500</v>
      </c>
    </row>
    <row r="72" spans="2:14" x14ac:dyDescent="0.2">
      <c r="M72" s="58">
        <f>F$30+Feuil1!F37</f>
        <v>13.84887478882391</v>
      </c>
      <c r="N72" s="58">
        <f>Feuil1!F39*Variables!B$16</f>
        <v>29250</v>
      </c>
    </row>
    <row r="73" spans="2:14" x14ac:dyDescent="0.2">
      <c r="M73" s="58">
        <f>F$30+Feuil1!F38</f>
        <v>13.89887478882391</v>
      </c>
      <c r="N73" s="58">
        <f>Feuil1!F40*Variables!B$16</f>
        <v>30000</v>
      </c>
    </row>
    <row r="74" spans="2:14" x14ac:dyDescent="0.2">
      <c r="M74" s="58">
        <f>F$30+Feuil1!F39</f>
        <v>13.948874788823909</v>
      </c>
      <c r="N74" s="58">
        <f>Feuil1!F41*Variables!B$16</f>
        <v>30749.999999999996</v>
      </c>
    </row>
    <row r="75" spans="2:14" x14ac:dyDescent="0.2">
      <c r="M75" s="58">
        <f>F$30+Feuil1!F40</f>
        <v>13.99887478882391</v>
      </c>
      <c r="N75" s="58">
        <f>Feuil1!F42*Variables!B$16</f>
        <v>31500</v>
      </c>
    </row>
    <row r="76" spans="2:14" x14ac:dyDescent="0.2">
      <c r="M76" s="58">
        <f>F$30+Feuil1!F41</f>
        <v>14.048874788823909</v>
      </c>
      <c r="N76" s="58">
        <f>Feuil1!F43*Variables!B$16</f>
        <v>32250</v>
      </c>
    </row>
    <row r="77" spans="2:14" x14ac:dyDescent="0.2">
      <c r="M77" s="58">
        <f>F$30+Feuil1!F42</f>
        <v>14.09887478882391</v>
      </c>
      <c r="N77" s="58">
        <f>Feuil1!F44*Variables!B$16</f>
        <v>33000</v>
      </c>
    </row>
    <row r="78" spans="2:14" x14ac:dyDescent="0.2">
      <c r="M78" s="58">
        <f>F$30+Feuil1!F43</f>
        <v>14.14887478882391</v>
      </c>
      <c r="N78" s="58">
        <f>Feuil1!F45*Variables!B$16</f>
        <v>33750</v>
      </c>
    </row>
    <row r="79" spans="2:14" x14ac:dyDescent="0.2">
      <c r="M79" s="58">
        <f>F$30+Feuil1!F44</f>
        <v>14.198874788823911</v>
      </c>
      <c r="N79" s="58">
        <f>Feuil1!F46*Variables!B$16</f>
        <v>34500</v>
      </c>
    </row>
    <row r="80" spans="2:14" x14ac:dyDescent="0.2">
      <c r="M80" s="58">
        <f>F$30+Feuil1!F45</f>
        <v>14.24887478882391</v>
      </c>
      <c r="N80" s="58">
        <f>Feuil1!F47*Variables!B$16</f>
        <v>35250</v>
      </c>
    </row>
    <row r="81" spans="13:14" x14ac:dyDescent="0.2">
      <c r="M81" s="58">
        <f>F$30+Feuil1!F46</f>
        <v>14.298874788823909</v>
      </c>
      <c r="N81" s="58">
        <f>Feuil1!F48*Variables!B$16</f>
        <v>36000</v>
      </c>
    </row>
    <row r="82" spans="13:14" x14ac:dyDescent="0.2">
      <c r="M82" s="58">
        <f>F$30+Feuil1!F47</f>
        <v>14.34887478882391</v>
      </c>
      <c r="N82" s="58">
        <f>Feuil1!F49*Variables!B$16</f>
        <v>36750</v>
      </c>
    </row>
    <row r="83" spans="13:14" x14ac:dyDescent="0.2">
      <c r="M83" s="58">
        <f>F$30+Feuil1!F48</f>
        <v>14.39887478882391</v>
      </c>
      <c r="N83" s="58">
        <f>Feuil1!F50*Variables!B$16</f>
        <v>37500</v>
      </c>
    </row>
    <row r="84" spans="13:14" x14ac:dyDescent="0.2">
      <c r="M84" s="58">
        <f>F$30+Feuil1!F49</f>
        <v>14.448874788823911</v>
      </c>
      <c r="N84" s="58">
        <f>Feuil1!F51*Variables!B$16</f>
        <v>38250</v>
      </c>
    </row>
    <row r="85" spans="13:14" x14ac:dyDescent="0.2">
      <c r="M85" s="58">
        <f>F$30+Feuil1!F50</f>
        <v>14.49887478882391</v>
      </c>
      <c r="N85" s="58">
        <f>Feuil1!F52*Variables!B$16</f>
        <v>39000</v>
      </c>
    </row>
    <row r="86" spans="13:14" x14ac:dyDescent="0.2">
      <c r="M86" s="58">
        <f>F$30+Feuil1!F51</f>
        <v>14.548874788823909</v>
      </c>
      <c r="N86" s="58">
        <f>Feuil1!F53*Variables!B$16</f>
        <v>39750</v>
      </c>
    </row>
    <row r="87" spans="13:14" x14ac:dyDescent="0.2">
      <c r="M87" s="58">
        <f>F$30+Feuil1!F52</f>
        <v>14.59887478882391</v>
      </c>
      <c r="N87" s="58">
        <f>Feuil1!F54*Variables!B$16</f>
        <v>40500</v>
      </c>
    </row>
    <row r="88" spans="13:14" x14ac:dyDescent="0.2">
      <c r="M88" s="58">
        <f>F$30+Feuil1!F53</f>
        <v>14.64887478882391</v>
      </c>
      <c r="N88" s="58">
        <f>Feuil1!F55*Variables!B$16</f>
        <v>41250</v>
      </c>
    </row>
    <row r="89" spans="13:14" x14ac:dyDescent="0.2">
      <c r="M89" s="58">
        <f>F$30+Feuil1!F54</f>
        <v>14.698874788823911</v>
      </c>
      <c r="N89" s="58">
        <f>Feuil1!F56*Variables!B$16</f>
        <v>42000</v>
      </c>
    </row>
    <row r="90" spans="13:14" x14ac:dyDescent="0.2">
      <c r="M90" s="58">
        <f>F$30+Feuil1!F55</f>
        <v>14.74887478882391</v>
      </c>
      <c r="N90" s="58">
        <f>Feuil1!F57*Variables!B$16</f>
        <v>42750</v>
      </c>
    </row>
    <row r="91" spans="13:14" x14ac:dyDescent="0.2">
      <c r="M91" s="58">
        <f>F$30+Feuil1!F56</f>
        <v>14.798874788823909</v>
      </c>
      <c r="N91" s="58">
        <f>Feuil1!F58*Variables!B$16</f>
        <v>43500</v>
      </c>
    </row>
    <row r="92" spans="13:14" x14ac:dyDescent="0.2">
      <c r="M92" s="58">
        <f>F$30+Feuil1!F57</f>
        <v>14.84887478882391</v>
      </c>
      <c r="N92" s="58">
        <f>Feuil1!F59*Variables!B$16</f>
        <v>44250</v>
      </c>
    </row>
    <row r="93" spans="13:14" x14ac:dyDescent="0.2">
      <c r="M93" s="58">
        <f>F$30+Feuil1!F58</f>
        <v>14.89887478882391</v>
      </c>
      <c r="N93" s="58">
        <f>Feuil1!F60*Variables!B$16</f>
        <v>45000</v>
      </c>
    </row>
    <row r="94" spans="13:14" x14ac:dyDescent="0.2">
      <c r="M94" s="58">
        <f>F$30+Feuil1!F59</f>
        <v>14.948874788823911</v>
      </c>
      <c r="N94" s="58">
        <f>Feuil1!F61*Variables!B$16</f>
        <v>45750</v>
      </c>
    </row>
    <row r="95" spans="13:14" x14ac:dyDescent="0.2">
      <c r="M95" s="58">
        <f>F$30+Feuil1!F60</f>
        <v>14.99887478882391</v>
      </c>
      <c r="N95" s="58">
        <f>Feuil1!F62*Variables!B$16</f>
        <v>46500</v>
      </c>
    </row>
    <row r="96" spans="13:14" x14ac:dyDescent="0.2">
      <c r="M96" s="58">
        <f>F$30+Feuil1!F61</f>
        <v>15.048874788823909</v>
      </c>
      <c r="N96" s="58">
        <f>Feuil1!F63*Variables!B$16</f>
        <v>47250</v>
      </c>
    </row>
    <row r="97" spans="13:14" x14ac:dyDescent="0.2">
      <c r="M97" s="58">
        <f>F$30+Feuil1!F62</f>
        <v>15.09887478882391</v>
      </c>
      <c r="N97" s="58">
        <f>Feuil1!F64*Variables!B$16</f>
        <v>48000</v>
      </c>
    </row>
    <row r="98" spans="13:14" x14ac:dyDescent="0.2">
      <c r="M98" s="58">
        <f>F$30+Feuil1!F63</f>
        <v>15.14887478882391</v>
      </c>
      <c r="N98" s="58">
        <f>Feuil1!F65*Variables!B$16</f>
        <v>48750</v>
      </c>
    </row>
    <row r="99" spans="13:14" x14ac:dyDescent="0.2">
      <c r="M99" s="58">
        <f>F$30+Feuil1!F64</f>
        <v>15.198874788823911</v>
      </c>
      <c r="N99" s="58">
        <f>Feuil1!F66*Variables!B$16</f>
        <v>49500</v>
      </c>
    </row>
    <row r="100" spans="13:14" x14ac:dyDescent="0.2">
      <c r="M100" s="58">
        <f>F$30+Feuil1!F65</f>
        <v>15.24887478882391</v>
      </c>
      <c r="N100" s="58">
        <f>Feuil1!F67*Variables!B$16</f>
        <v>50250</v>
      </c>
    </row>
    <row r="101" spans="13:14" x14ac:dyDescent="0.2">
      <c r="M101" s="58">
        <f>F$30+Feuil1!F66</f>
        <v>15.298874788823909</v>
      </c>
      <c r="N101" s="58">
        <f>Feuil1!F68*Variables!B$16</f>
        <v>51000</v>
      </c>
    </row>
    <row r="102" spans="13:14" x14ac:dyDescent="0.2">
      <c r="M102" s="58">
        <f>F$30+Feuil1!F67</f>
        <v>15.34887478882391</v>
      </c>
      <c r="N102" s="58">
        <f>Feuil1!F69*Variables!B$16</f>
        <v>51750</v>
      </c>
    </row>
    <row r="103" spans="13:14" x14ac:dyDescent="0.2">
      <c r="M103" s="58">
        <f>F$30+Feuil1!F68</f>
        <v>15.39887478882391</v>
      </c>
      <c r="N103" s="58">
        <f>Feuil1!F70*Variables!B$16</f>
        <v>52500</v>
      </c>
    </row>
    <row r="104" spans="13:14" x14ac:dyDescent="0.2">
      <c r="M104" s="58">
        <f>F$30+Feuil1!F69</f>
        <v>15.448874788823911</v>
      </c>
      <c r="N104" s="58">
        <f>Feuil1!F71*Variables!B$16</f>
        <v>53250</v>
      </c>
    </row>
    <row r="105" spans="13:14" x14ac:dyDescent="0.2">
      <c r="M105" s="58">
        <f>F$30+Feuil1!F70</f>
        <v>15.49887478882391</v>
      </c>
      <c r="N105" s="58">
        <f>Feuil1!F72*Variables!B$16</f>
        <v>54000</v>
      </c>
    </row>
    <row r="106" spans="13:14" x14ac:dyDescent="0.2">
      <c r="M106" s="58">
        <f>F$30+Feuil1!F71</f>
        <v>15.548874788823909</v>
      </c>
      <c r="N106" s="58">
        <f>Feuil1!F73*Variables!B$16</f>
        <v>54750</v>
      </c>
    </row>
    <row r="107" spans="13:14" x14ac:dyDescent="0.2">
      <c r="M107" s="58">
        <f>F$30+Feuil1!F72</f>
        <v>15.59887478882391</v>
      </c>
      <c r="N107" s="58">
        <f>Feuil1!F74*Variables!B$16</f>
        <v>55500</v>
      </c>
    </row>
    <row r="108" spans="13:14" x14ac:dyDescent="0.2">
      <c r="M108" s="58">
        <f>F$30+Feuil1!F73</f>
        <v>15.64887478882391</v>
      </c>
      <c r="N108" s="58">
        <f>Feuil1!F75*Variables!B$16</f>
        <v>56250</v>
      </c>
    </row>
    <row r="109" spans="13:14" x14ac:dyDescent="0.2">
      <c r="M109" s="58">
        <f>F$30+Feuil1!F74</f>
        <v>15.698874788823911</v>
      </c>
      <c r="N109" s="58">
        <f>Feuil1!F76*Variables!B$16</f>
        <v>57000</v>
      </c>
    </row>
    <row r="110" spans="13:14" x14ac:dyDescent="0.2">
      <c r="M110" s="58">
        <f>F$30+Feuil1!F75</f>
        <v>15.74887478882391</v>
      </c>
      <c r="N110" s="58">
        <f>Feuil1!F77*Variables!B$16</f>
        <v>57750</v>
      </c>
    </row>
    <row r="111" spans="13:14" x14ac:dyDescent="0.2">
      <c r="M111" s="58">
        <f>F$30+Feuil1!F76</f>
        <v>15.798874788823909</v>
      </c>
      <c r="N111" s="58">
        <f>Feuil1!F78*Variables!B$16</f>
        <v>58500</v>
      </c>
    </row>
    <row r="112" spans="13:14" x14ac:dyDescent="0.2">
      <c r="M112" s="58">
        <f>F$30+Feuil1!F77</f>
        <v>15.84887478882391</v>
      </c>
      <c r="N112" s="58">
        <f>Feuil1!F79*Variables!B$16</f>
        <v>59250</v>
      </c>
    </row>
    <row r="113" spans="13:14" x14ac:dyDescent="0.2">
      <c r="M113" s="58">
        <f>F$30+Feuil1!F78</f>
        <v>15.89887478882391</v>
      </c>
      <c r="N113" s="58">
        <f>Feuil1!F80*Variables!B$16</f>
        <v>60000</v>
      </c>
    </row>
    <row r="114" spans="13:14" x14ac:dyDescent="0.2">
      <c r="M114" s="58">
        <f>F$30+Feuil1!F79</f>
        <v>15.948874788823911</v>
      </c>
      <c r="N114" s="58">
        <f>Feuil1!F81*Variables!B$16</f>
        <v>60750</v>
      </c>
    </row>
    <row r="115" spans="13:14" x14ac:dyDescent="0.2">
      <c r="M115" s="58">
        <f>F$30+Feuil1!F80</f>
        <v>15.99887478882391</v>
      </c>
      <c r="N115" s="58">
        <f>Feuil1!F82*Variables!B$16</f>
        <v>61499.999999999993</v>
      </c>
    </row>
    <row r="116" spans="13:14" x14ac:dyDescent="0.2">
      <c r="M116" s="58">
        <f>F$30+Feuil1!F81</f>
        <v>16.048874788823909</v>
      </c>
      <c r="N116" s="58">
        <f>Feuil1!F83*Variables!B$16</f>
        <v>62250.000000000007</v>
      </c>
    </row>
    <row r="117" spans="13:14" x14ac:dyDescent="0.2">
      <c r="M117" s="58">
        <f>F$30+Feuil1!F82</f>
        <v>16.09887478882391</v>
      </c>
      <c r="N117" s="58">
        <f>Feuil1!F84*Variables!B$16</f>
        <v>63000</v>
      </c>
    </row>
    <row r="118" spans="13:14" x14ac:dyDescent="0.2">
      <c r="M118" s="58">
        <f>F$30+Feuil1!F83</f>
        <v>16.14887478882391</v>
      </c>
      <c r="N118" s="58">
        <f>Feuil1!F85*Variables!B$16</f>
        <v>63750</v>
      </c>
    </row>
    <row r="119" spans="13:14" x14ac:dyDescent="0.2">
      <c r="M119" s="58">
        <f>F$30+Feuil1!F84</f>
        <v>16.198874788823911</v>
      </c>
      <c r="N119" s="58">
        <f>Feuil1!F86*Variables!B$16</f>
        <v>64500</v>
      </c>
    </row>
  </sheetData>
  <sheetProtection sheet="1" objects="1" scenarios="1"/>
  <mergeCells count="4">
    <mergeCell ref="A1:E1"/>
    <mergeCell ref="A14:E14"/>
    <mergeCell ref="B34:K34"/>
    <mergeCell ref="M34:N34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6"/>
  <sheetViews>
    <sheetView topLeftCell="A76" zoomScaleNormal="100" zoomScaleSheetLayoutView="115" workbookViewId="0">
      <selection activeCell="Q86" sqref="Q86"/>
    </sheetView>
  </sheetViews>
  <sheetFormatPr baseColWidth="10" defaultColWidth="11.5703125" defaultRowHeight="12.75" x14ac:dyDescent="0.2"/>
  <cols>
    <col min="1" max="1" width="27.85546875" style="9" customWidth="1"/>
    <col min="2" max="2" width="11.5703125" style="9"/>
    <col min="3" max="3" width="21.7109375" style="9" customWidth="1"/>
    <col min="4" max="4" width="12.28515625" style="9" bestFit="1" customWidth="1"/>
    <col min="5" max="5" width="12.28515625" style="9" customWidth="1"/>
    <col min="6" max="6" width="18.140625" style="9" bestFit="1" customWidth="1"/>
    <col min="7" max="7" width="16.7109375" style="9" hidden="1" customWidth="1"/>
    <col min="8" max="8" width="16.42578125" style="9" hidden="1" customWidth="1"/>
    <col min="9" max="9" width="18" style="9" hidden="1" customWidth="1"/>
    <col min="10" max="10" width="18.140625" style="9" hidden="1" customWidth="1"/>
    <col min="11" max="11" width="13.7109375" style="9" bestFit="1" customWidth="1"/>
    <col min="12" max="12" width="12.140625" style="9" bestFit="1" customWidth="1"/>
    <col min="13" max="16384" width="11.5703125" style="9"/>
  </cols>
  <sheetData>
    <row r="1" spans="1:10" ht="23.25" x14ac:dyDescent="0.35">
      <c r="A1" s="35" t="str">
        <f>Feuil1!AE1</f>
        <v>Calculateur du coût</v>
      </c>
    </row>
    <row r="2" spans="1:10" x14ac:dyDescent="0.2">
      <c r="F2" s="171"/>
      <c r="G2" s="171"/>
      <c r="H2" s="171"/>
      <c r="I2" s="171"/>
      <c r="J2" s="171"/>
    </row>
    <row r="3" spans="1:10" ht="15.75" x14ac:dyDescent="0.25">
      <c r="A3" s="8" t="str">
        <f>Feuil1!AE3</f>
        <v>Pressage</v>
      </c>
      <c r="D3" s="45"/>
      <c r="E3" s="45"/>
      <c r="F3" s="26"/>
      <c r="G3" s="26">
        <v>12000</v>
      </c>
      <c r="H3" s="26">
        <v>25000</v>
      </c>
      <c r="I3" s="26">
        <v>50000</v>
      </c>
      <c r="J3" s="26">
        <v>80000</v>
      </c>
    </row>
    <row r="4" spans="1:10" x14ac:dyDescent="0.2">
      <c r="A4" s="9" t="str">
        <f>Feuil1!AE4</f>
        <v>Presse à façon</v>
      </c>
      <c r="D4" s="45" t="str">
        <f>Feuil1!AH4</f>
        <v>litres/année</v>
      </c>
      <c r="E4" s="45"/>
      <c r="F4" s="26">
        <f>Variables!B15/95*100</f>
        <v>31578.947368421053</v>
      </c>
      <c r="G4" s="26"/>
      <c r="H4" s="26"/>
      <c r="I4" s="26"/>
      <c r="J4" s="26"/>
    </row>
    <row r="5" spans="1:10" x14ac:dyDescent="0.2">
      <c r="A5" s="9" t="str">
        <f>Feuil1!AE5</f>
        <v>Presse à profesonnelle</v>
      </c>
      <c r="D5" s="45" t="str">
        <f>Feuil1!AH5</f>
        <v>litres/année</v>
      </c>
      <c r="E5" s="45"/>
      <c r="F5" s="26">
        <f>Variables!B16/95*100</f>
        <v>15789.473684210527</v>
      </c>
      <c r="G5" s="26"/>
      <c r="H5" s="26"/>
      <c r="I5" s="26"/>
      <c r="J5" s="26"/>
    </row>
    <row r="6" spans="1:10" ht="15.75" x14ac:dyDescent="0.25">
      <c r="A6" s="8"/>
      <c r="D6" s="45" t="str">
        <f>Feuil1!AH6</f>
        <v>litres/année</v>
      </c>
      <c r="E6" s="45" t="str">
        <f>Feuil1!AI6</f>
        <v>Total</v>
      </c>
      <c r="F6" s="26">
        <f>F4+F5</f>
        <v>47368.42105263158</v>
      </c>
      <c r="G6" s="26"/>
      <c r="H6" s="26"/>
      <c r="I6" s="26"/>
      <c r="J6" s="26"/>
    </row>
    <row r="7" spans="1:10" ht="15" x14ac:dyDescent="0.25">
      <c r="A7" s="10" t="str">
        <f>Feuil1!AE7</f>
        <v>Investitionen</v>
      </c>
      <c r="F7" s="13"/>
      <c r="G7" s="13"/>
      <c r="H7" s="13"/>
      <c r="I7" s="13"/>
      <c r="J7" s="13"/>
    </row>
    <row r="8" spans="1:10" x14ac:dyDescent="0.2">
      <c r="A8" s="9" t="str">
        <f>Feuil1!AE8</f>
        <v>Pressoir</v>
      </c>
      <c r="B8" s="9" t="str">
        <f>Variables!B31</f>
        <v>Bandpresse</v>
      </c>
      <c r="F8" s="59">
        <f>Variables!B32</f>
        <v>20000</v>
      </c>
      <c r="G8" s="59">
        <v>12000</v>
      </c>
      <c r="H8" s="13"/>
      <c r="I8" s="13"/>
      <c r="J8" s="13"/>
    </row>
    <row r="9" spans="1:10" x14ac:dyDescent="0.2">
      <c r="A9" s="9" t="str">
        <f>Feuil1!AE9</f>
        <v>Pasteurisateur</v>
      </c>
      <c r="B9" s="9" t="str">
        <f>Variables!B34</f>
        <v>elektrisch</v>
      </c>
      <c r="F9" s="59">
        <f>Variables!B35</f>
        <v>6000</v>
      </c>
      <c r="G9" s="13"/>
      <c r="H9" s="59">
        <v>50000</v>
      </c>
      <c r="I9" s="13"/>
      <c r="J9" s="13"/>
    </row>
    <row r="10" spans="1:10" x14ac:dyDescent="0.2">
      <c r="A10" s="9" t="str">
        <f>Feuil1!AE10</f>
        <v>Remplisseuse</v>
      </c>
      <c r="F10" s="59">
        <f>Variables!B38</f>
        <v>3000</v>
      </c>
      <c r="G10" s="13"/>
      <c r="H10" s="13"/>
      <c r="I10" s="59">
        <v>80000</v>
      </c>
      <c r="J10" s="59">
        <v>110000</v>
      </c>
    </row>
    <row r="11" spans="1:10" x14ac:dyDescent="0.2">
      <c r="A11" s="9" t="str">
        <f>Variables!A39</f>
        <v>Autre petit matériel (pompes, cuves…)</v>
      </c>
      <c r="F11" s="59">
        <f>Variables!B39</f>
        <v>6000</v>
      </c>
      <c r="G11" s="59">
        <v>3000</v>
      </c>
      <c r="H11" s="59">
        <v>3000</v>
      </c>
      <c r="I11" s="13"/>
      <c r="J11" s="13"/>
    </row>
    <row r="12" spans="1:10" x14ac:dyDescent="0.2">
      <c r="F12" s="13"/>
      <c r="G12" s="13"/>
      <c r="H12" s="13"/>
      <c r="I12" s="59">
        <v>5000</v>
      </c>
      <c r="J12" s="59">
        <v>8000</v>
      </c>
    </row>
    <row r="13" spans="1:10" x14ac:dyDescent="0.2">
      <c r="F13" s="60"/>
      <c r="G13" s="60"/>
      <c r="H13" s="60"/>
      <c r="I13" s="61"/>
      <c r="J13" s="61"/>
    </row>
    <row r="15" spans="1:10" ht="15.75" x14ac:dyDescent="0.25">
      <c r="A15" s="8" t="str">
        <f>Feuil1!AE15</f>
        <v>Couts fixes pressage</v>
      </c>
    </row>
    <row r="16" spans="1:10" ht="15" x14ac:dyDescent="0.25">
      <c r="A16" s="10" t="str">
        <f>Feuil1!AE16</f>
        <v>Amortissement</v>
      </c>
    </row>
    <row r="17" spans="1:10" x14ac:dyDescent="0.2">
      <c r="A17" s="45" t="str">
        <f>Feuil1!AE17</f>
        <v>Pressoir</v>
      </c>
      <c r="C17" s="9">
        <f>Variables!B27</f>
        <v>15</v>
      </c>
      <c r="D17" s="9" t="s">
        <v>11</v>
      </c>
      <c r="F17" s="11">
        <f>IF(Variables!B27&gt;15,F8/C17*1.1,F8/C17)</f>
        <v>1333.3333333333333</v>
      </c>
      <c r="G17" s="12">
        <f>F8/C17</f>
        <v>1333.3333333333333</v>
      </c>
      <c r="H17" s="12">
        <f>H9/C17</f>
        <v>3333.3333333333335</v>
      </c>
      <c r="I17" s="12">
        <f>I10/C17</f>
        <v>5333.333333333333</v>
      </c>
      <c r="J17" s="12">
        <f>J10/C17</f>
        <v>7333.333333333333</v>
      </c>
    </row>
    <row r="18" spans="1:10" x14ac:dyDescent="0.2">
      <c r="A18" s="45" t="str">
        <f>Feuil1!AE18</f>
        <v>Petit matériel</v>
      </c>
      <c r="C18" s="9">
        <f>Variables!B28</f>
        <v>8</v>
      </c>
      <c r="D18" s="9" t="s">
        <v>11</v>
      </c>
      <c r="F18" s="11">
        <f>IF(Variables!B28&gt;8,F11/C18*1.1,F11/C18)</f>
        <v>750</v>
      </c>
      <c r="G18" s="12">
        <f>G11/C18</f>
        <v>375</v>
      </c>
      <c r="H18" s="12">
        <f>H11/C18</f>
        <v>375</v>
      </c>
      <c r="I18" s="12">
        <f>I12/C18</f>
        <v>625</v>
      </c>
      <c r="J18" s="12">
        <f>J12/C18</f>
        <v>1000</v>
      </c>
    </row>
    <row r="19" spans="1:10" x14ac:dyDescent="0.2">
      <c r="F19" s="13"/>
      <c r="G19" s="13"/>
      <c r="H19" s="13"/>
      <c r="I19" s="13"/>
      <c r="J19" s="13"/>
    </row>
    <row r="20" spans="1:10" ht="15" x14ac:dyDescent="0.25">
      <c r="A20" s="10" t="str">
        <f>Feuil1!AE20</f>
        <v>Amostissement capital propre</v>
      </c>
      <c r="F20" s="13"/>
      <c r="G20" s="13"/>
      <c r="H20" s="13"/>
      <c r="I20" s="13"/>
      <c r="J20" s="13"/>
    </row>
    <row r="21" spans="1:10" x14ac:dyDescent="0.2">
      <c r="A21" s="14">
        <v>0.6</v>
      </c>
      <c r="B21" s="45" t="str">
        <f>Feuil1!AF21</f>
        <v xml:space="preserve">du capital à </v>
      </c>
      <c r="D21" s="14">
        <f>Variables!B43</f>
        <v>0.03</v>
      </c>
      <c r="E21" s="14"/>
      <c r="F21" s="12">
        <f>0.6*(F8+F11)*D21</f>
        <v>468</v>
      </c>
      <c r="G21" s="12">
        <f>0.6*(G8+G11)*D21</f>
        <v>270</v>
      </c>
      <c r="H21" s="12">
        <f>0.6*(H9+H11)*D21</f>
        <v>954</v>
      </c>
      <c r="I21" s="12">
        <f>0.6*(I10+I12)*D21</f>
        <v>1530</v>
      </c>
      <c r="J21" s="12">
        <f>0.6*(J10+J12)*D21</f>
        <v>2124</v>
      </c>
    </row>
    <row r="22" spans="1:10" x14ac:dyDescent="0.2">
      <c r="F22" s="13"/>
      <c r="G22" s="13"/>
      <c r="H22" s="13"/>
      <c r="I22" s="13"/>
      <c r="J22" s="13"/>
    </row>
    <row r="23" spans="1:10" ht="15" x14ac:dyDescent="0.25">
      <c r="A23" s="10" t="str">
        <f>Feuil1!AE23</f>
        <v>Coût bâtiment</v>
      </c>
      <c r="G23" s="13">
        <v>15</v>
      </c>
      <c r="H23" s="13">
        <v>20</v>
      </c>
      <c r="I23" s="13">
        <v>30</v>
      </c>
      <c r="J23" s="13">
        <v>50</v>
      </c>
    </row>
    <row r="24" spans="1:10" x14ac:dyDescent="0.2">
      <c r="A24" s="62">
        <v>30</v>
      </c>
      <c r="B24" s="45" t="str">
        <f>Feuil1!AF24</f>
        <v>par m3</v>
      </c>
      <c r="C24" s="13">
        <f>Variables!B41</f>
        <v>250</v>
      </c>
      <c r="D24" s="9" t="s">
        <v>20</v>
      </c>
      <c r="F24" s="11">
        <f>C24*A24</f>
        <v>7500</v>
      </c>
      <c r="G24" s="12">
        <f>G23*A24</f>
        <v>450</v>
      </c>
      <c r="H24" s="12">
        <f>H23*A24</f>
        <v>600</v>
      </c>
      <c r="I24" s="12">
        <f>I23*A24</f>
        <v>900</v>
      </c>
      <c r="J24" s="12">
        <f>J23*A24</f>
        <v>1500</v>
      </c>
    </row>
    <row r="25" spans="1:10" x14ac:dyDescent="0.2">
      <c r="F25" s="13"/>
      <c r="G25" s="13"/>
      <c r="H25" s="13"/>
      <c r="I25" s="13"/>
      <c r="J25" s="13"/>
    </row>
    <row r="26" spans="1:10" ht="15" x14ac:dyDescent="0.25">
      <c r="A26" s="16" t="str">
        <f>Feuil1!AE26</f>
        <v>Total coûts fixe pressoire</v>
      </c>
      <c r="B26" s="10"/>
      <c r="C26" s="10"/>
      <c r="D26" s="10"/>
      <c r="E26" s="10"/>
      <c r="F26" s="17">
        <f>F17+F18+F21+F24</f>
        <v>10051.333333333332</v>
      </c>
      <c r="G26" s="17">
        <f>G17+G18+G21+G24</f>
        <v>2428.333333333333</v>
      </c>
      <c r="H26" s="17">
        <f>H17+H18+H21+H24</f>
        <v>5262.3333333333339</v>
      </c>
      <c r="I26" s="17">
        <f>I17+I18+I21+I24</f>
        <v>8388.3333333333321</v>
      </c>
      <c r="J26" s="17">
        <f>J17+J18+J21+J24</f>
        <v>11957.333333333332</v>
      </c>
    </row>
    <row r="27" spans="1:10" x14ac:dyDescent="0.2">
      <c r="A27" s="45" t="str">
        <f>Feuil1!AE27</f>
        <v>Coût par litre</v>
      </c>
      <c r="F27" s="65">
        <f>F26/F6</f>
        <v>0.21219481481481478</v>
      </c>
      <c r="G27" s="12">
        <f>G26/G3</f>
        <v>0.20236111111111107</v>
      </c>
      <c r="H27" s="12">
        <f>H26/H3</f>
        <v>0.21049333333333337</v>
      </c>
      <c r="I27" s="12">
        <f>I26/I3</f>
        <v>0.16776666666666665</v>
      </c>
      <c r="J27" s="12">
        <f>J26/J3</f>
        <v>0.14946666666666666</v>
      </c>
    </row>
    <row r="30" spans="1:10" ht="15.75" x14ac:dyDescent="0.25">
      <c r="A30" s="8" t="str">
        <f>Feuil1!AE30</f>
        <v>Coûts variables pressage</v>
      </c>
    </row>
    <row r="31" spans="1:10" ht="15" x14ac:dyDescent="0.25">
      <c r="A31" s="10" t="str">
        <f>Feuil1!AE31</f>
        <v>Utilisation d'eau</v>
      </c>
      <c r="C31" s="45" t="str">
        <f>Feuil1!AG31</f>
        <v>4 l d'eau / 1 l de jus</v>
      </c>
      <c r="D31" s="9" t="s">
        <v>20</v>
      </c>
      <c r="E31" s="80">
        <f>F6*4/1000</f>
        <v>189.47368421052633</v>
      </c>
      <c r="G31" s="13">
        <v>48</v>
      </c>
      <c r="H31" s="13">
        <v>100</v>
      </c>
      <c r="I31" s="13">
        <v>200</v>
      </c>
      <c r="J31" s="13">
        <v>320</v>
      </c>
    </row>
    <row r="32" spans="1:10" x14ac:dyDescent="0.2">
      <c r="C32" s="62">
        <f>Variables!B45</f>
        <v>3.5</v>
      </c>
      <c r="F32" s="12">
        <f>E31*C32</f>
        <v>663.1578947368422</v>
      </c>
      <c r="G32" s="12">
        <f>G31*C32</f>
        <v>168</v>
      </c>
      <c r="H32" s="12">
        <f>H31*C32</f>
        <v>350</v>
      </c>
      <c r="I32" s="12">
        <f>I31*C32</f>
        <v>700</v>
      </c>
      <c r="J32" s="12">
        <f>J31*C32</f>
        <v>1120</v>
      </c>
    </row>
    <row r="33" spans="1:10" x14ac:dyDescent="0.2">
      <c r="F33" s="13"/>
      <c r="G33" s="13"/>
      <c r="H33" s="13"/>
      <c r="I33" s="13"/>
      <c r="J33" s="13"/>
    </row>
    <row r="34" spans="1:10" ht="15" x14ac:dyDescent="0.25">
      <c r="A34" s="10" t="str">
        <f>Feuil1!AE34</f>
        <v>Energie</v>
      </c>
      <c r="C34" s="9" t="s">
        <v>22</v>
      </c>
      <c r="D34" s="9" t="s">
        <v>23</v>
      </c>
      <c r="E34" s="80">
        <f>F6/100</f>
        <v>473.68421052631578</v>
      </c>
      <c r="G34" s="13">
        <f>G3*0.5/100</f>
        <v>60</v>
      </c>
      <c r="H34" s="13">
        <f>H3*0.5/100</f>
        <v>125</v>
      </c>
      <c r="I34" s="13">
        <f>I3*0.5/100</f>
        <v>250</v>
      </c>
      <c r="J34" s="13">
        <f>J3*0.5/100</f>
        <v>400</v>
      </c>
    </row>
    <row r="35" spans="1:10" ht="15" x14ac:dyDescent="0.25">
      <c r="A35" s="10"/>
      <c r="C35" s="62">
        <v>0.22</v>
      </c>
      <c r="F35" s="12">
        <f>E34*C35</f>
        <v>104.21052631578947</v>
      </c>
      <c r="G35" s="12">
        <f>G34*C35</f>
        <v>13.2</v>
      </c>
      <c r="H35" s="12">
        <f>H34*C35</f>
        <v>27.5</v>
      </c>
      <c r="I35" s="12">
        <f>I34*C35</f>
        <v>55</v>
      </c>
      <c r="J35" s="12">
        <f>J34*C35</f>
        <v>88</v>
      </c>
    </row>
    <row r="36" spans="1:10" ht="15" x14ac:dyDescent="0.25">
      <c r="A36" s="10"/>
      <c r="F36" s="13"/>
      <c r="G36" s="13"/>
      <c r="H36" s="13"/>
      <c r="I36" s="13"/>
      <c r="J36" s="13"/>
    </row>
    <row r="37" spans="1:10" ht="15" x14ac:dyDescent="0.25">
      <c r="A37" s="10" t="str">
        <f>Feuil1!AE37</f>
        <v>Entretien</v>
      </c>
      <c r="B37" s="45" t="str">
        <f>Feuil1!AF37</f>
        <v>pressoir / année</v>
      </c>
      <c r="C37" s="9">
        <f>IF(B8=Feuil1!A2,0.7,1)</f>
        <v>1</v>
      </c>
      <c r="D37" s="45" t="str">
        <f>Feuil1!AH37</f>
        <v>heures / 1000 l</v>
      </c>
      <c r="E37" s="80">
        <f>F6*C37/1000</f>
        <v>47.368421052631582</v>
      </c>
      <c r="G37" s="13">
        <f>G3*C37/1000</f>
        <v>12</v>
      </c>
      <c r="H37" s="13"/>
      <c r="I37" s="13"/>
      <c r="J37" s="13"/>
    </row>
    <row r="38" spans="1:10" ht="15" x14ac:dyDescent="0.25">
      <c r="A38" s="10"/>
      <c r="B38" s="45"/>
      <c r="C38" s="62">
        <f>Variables!B11</f>
        <v>35</v>
      </c>
      <c r="D38" s="45"/>
      <c r="F38" s="12">
        <f>E37*C38</f>
        <v>1657.8947368421054</v>
      </c>
      <c r="G38" s="12">
        <f>G37*C38</f>
        <v>420</v>
      </c>
      <c r="H38" s="12" t="e">
        <f>#REF!*C38</f>
        <v>#REF!</v>
      </c>
      <c r="I38" s="12" t="e">
        <f>#REF!*C38</f>
        <v>#REF!</v>
      </c>
      <c r="J38" s="12" t="e">
        <f>#REF!*C38</f>
        <v>#REF!</v>
      </c>
    </row>
    <row r="39" spans="1:10" ht="15" x14ac:dyDescent="0.25">
      <c r="A39" s="10"/>
      <c r="B39" s="45"/>
      <c r="D39" s="45"/>
      <c r="F39" s="13"/>
      <c r="G39" s="13"/>
      <c r="H39" s="13"/>
      <c r="I39" s="13"/>
      <c r="J39" s="13"/>
    </row>
    <row r="40" spans="1:10" ht="15" x14ac:dyDescent="0.25">
      <c r="A40" s="10" t="str">
        <f>Feuil1!AE40</f>
        <v>Réparation</v>
      </c>
      <c r="B40" s="45"/>
      <c r="C40" s="14">
        <v>0.05</v>
      </c>
      <c r="D40" s="45" t="str">
        <f>Feuil1!AH40</f>
        <v>Cap. invest.</v>
      </c>
      <c r="F40" s="11">
        <f>(F8+F11)*C40</f>
        <v>1300</v>
      </c>
      <c r="G40" s="11">
        <f>(G8+G11)*C40</f>
        <v>750</v>
      </c>
      <c r="H40" s="11">
        <f>(H9+H11)*C40</f>
        <v>2650</v>
      </c>
      <c r="I40" s="11">
        <f>(I10+I12)*C40</f>
        <v>4250</v>
      </c>
      <c r="J40" s="11">
        <f>(J10+J12)*C40</f>
        <v>5900</v>
      </c>
    </row>
    <row r="41" spans="1:10" ht="15" x14ac:dyDescent="0.25">
      <c r="A41" s="10"/>
      <c r="B41" s="45"/>
      <c r="D41" s="45"/>
      <c r="F41" s="13"/>
      <c r="G41" s="13"/>
      <c r="H41" s="13"/>
      <c r="I41" s="13"/>
      <c r="J41" s="13"/>
    </row>
    <row r="42" spans="1:10" ht="15" x14ac:dyDescent="0.25">
      <c r="A42" s="10" t="str">
        <f>Feuil1!AE42</f>
        <v>Travail</v>
      </c>
      <c r="B42" s="45" t="str">
        <f>Feuil1!AF42</f>
        <v>pressage</v>
      </c>
      <c r="C42" s="64">
        <f>F6/Variables!B33</f>
        <v>157.89473684210526</v>
      </c>
      <c r="D42" s="45" t="str">
        <f>Feuil1!AH42</f>
        <v>heures</v>
      </c>
      <c r="E42" s="45"/>
      <c r="F42" s="11">
        <f>C42*C44</f>
        <v>5526.3157894736842</v>
      </c>
      <c r="G42" s="13">
        <f>C42*G3/1000</f>
        <v>1894.7368421052631</v>
      </c>
      <c r="H42" s="13"/>
      <c r="I42" s="13"/>
      <c r="J42" s="13"/>
    </row>
    <row r="43" spans="1:10" x14ac:dyDescent="0.2">
      <c r="B43" s="45" t="str">
        <f>Feuil1!AF43</f>
        <v>nettoyage</v>
      </c>
      <c r="C43" s="64">
        <f>C42/8*1</f>
        <v>19.736842105263158</v>
      </c>
      <c r="D43" s="45" t="str">
        <f>Feuil1!AH43</f>
        <v>heures</v>
      </c>
      <c r="E43" s="45"/>
      <c r="F43" s="11">
        <f>C43*C44</f>
        <v>690.78947368421052</v>
      </c>
      <c r="G43" s="13"/>
      <c r="H43" s="13">
        <f>C43*H3/1000</f>
        <v>493.42105263157896</v>
      </c>
      <c r="I43" s="13">
        <f>C43*I3/1000</f>
        <v>986.84210526315792</v>
      </c>
      <c r="J43" s="13">
        <f>C43*J3/1000</f>
        <v>1578.9473684210525</v>
      </c>
    </row>
    <row r="44" spans="1:10" x14ac:dyDescent="0.2">
      <c r="C44" s="62">
        <f>Variables!B11</f>
        <v>35</v>
      </c>
      <c r="E44" s="64">
        <f>C42+C43</f>
        <v>177.63157894736841</v>
      </c>
      <c r="F44" s="12">
        <f>F42+F43</f>
        <v>6217.105263157895</v>
      </c>
      <c r="G44" s="12">
        <f>G42*C44</f>
        <v>66315.789473684214</v>
      </c>
      <c r="H44" s="12">
        <f>H43*C44</f>
        <v>17269.736842105263</v>
      </c>
      <c r="I44" s="12">
        <f>I43*C44</f>
        <v>34539.473684210527</v>
      </c>
      <c r="J44" s="12">
        <f>J43*C44</f>
        <v>55263.15789473684</v>
      </c>
    </row>
    <row r="45" spans="1:10" x14ac:dyDescent="0.2">
      <c r="F45" s="13"/>
      <c r="G45" s="13"/>
      <c r="H45" s="13"/>
      <c r="I45" s="13"/>
      <c r="J45" s="13"/>
    </row>
    <row r="46" spans="1:10" s="63" customFormat="1" ht="15" x14ac:dyDescent="0.25">
      <c r="A46" s="16" t="str">
        <f>Feuil1!AE46</f>
        <v>Total coûts variables pressage</v>
      </c>
      <c r="B46" s="10"/>
      <c r="C46" s="10"/>
      <c r="D46" s="10"/>
      <c r="E46" s="10"/>
      <c r="F46" s="17">
        <f>F44+F40+F38+F35+F32</f>
        <v>9942.3684210526317</v>
      </c>
      <c r="G46" s="17">
        <f>G44+G40+G38+G35+G32</f>
        <v>67666.989473684211</v>
      </c>
      <c r="H46" s="17" t="e">
        <f>H44+H40+H38+H35+H32</f>
        <v>#REF!</v>
      </c>
      <c r="I46" s="17" t="e">
        <f>I44+I40+I38+I35+I32</f>
        <v>#REF!</v>
      </c>
      <c r="J46" s="17" t="e">
        <f>J44+J40+J38+J35+J32</f>
        <v>#REF!</v>
      </c>
    </row>
    <row r="47" spans="1:10" x14ac:dyDescent="0.2">
      <c r="A47" s="45" t="str">
        <f>Feuil1!AE47</f>
        <v>Coût pressage par litre</v>
      </c>
      <c r="F47" s="12">
        <f>F46/F6</f>
        <v>0.20989444444444444</v>
      </c>
      <c r="G47" s="12">
        <f>G46/G3</f>
        <v>5.6389157894736845</v>
      </c>
      <c r="H47" s="12" t="e">
        <f>H46/H3</f>
        <v>#REF!</v>
      </c>
      <c r="I47" s="12" t="e">
        <f>I46/I3</f>
        <v>#REF!</v>
      </c>
      <c r="J47" s="12" t="e">
        <f>J46/J3</f>
        <v>#REF!</v>
      </c>
    </row>
    <row r="48" spans="1:10" ht="13.5" thickBot="1" x14ac:dyDescent="0.25">
      <c r="F48" s="18"/>
      <c r="G48" s="18"/>
      <c r="H48" s="18"/>
      <c r="I48" s="18"/>
      <c r="J48" s="19"/>
    </row>
    <row r="49" spans="1:15" s="10" customFormat="1" ht="15.75" thickBot="1" x14ac:dyDescent="0.3">
      <c r="A49" s="20" t="str">
        <f>Feuil1!AE49</f>
        <v>Coûts total brut au pressoir</v>
      </c>
      <c r="B49" s="21"/>
      <c r="C49" s="21"/>
      <c r="D49" s="21"/>
      <c r="E49" s="21"/>
      <c r="F49" s="22">
        <f>F26+F46</f>
        <v>19993.701754385962</v>
      </c>
      <c r="G49" s="22">
        <f>G26+G46</f>
        <v>70095.322807017539</v>
      </c>
      <c r="H49" s="22" t="e">
        <f>H26+H46</f>
        <v>#REF!</v>
      </c>
      <c r="I49" s="22" t="e">
        <f>I26+I46</f>
        <v>#REF!</v>
      </c>
      <c r="J49" s="23" t="e">
        <f>J26+J46</f>
        <v>#REF!</v>
      </c>
    </row>
    <row r="50" spans="1:15" s="24" customFormat="1" x14ac:dyDescent="0.2">
      <c r="A50" s="24" t="str">
        <f>Feuil1!AE50</f>
        <v>Coûts total brut au pressoir au litre</v>
      </c>
      <c r="F50" s="25">
        <f>F49/F6</f>
        <v>0.42208925925925916</v>
      </c>
      <c r="G50" s="25">
        <f>G49/G3</f>
        <v>5.8412769005847949</v>
      </c>
      <c r="H50" s="25" t="e">
        <f>H49/H3</f>
        <v>#REF!</v>
      </c>
      <c r="I50" s="25" t="e">
        <f>I49/I3</f>
        <v>#REF!</v>
      </c>
      <c r="J50" s="25" t="e">
        <f>J49/J3</f>
        <v>#REF!</v>
      </c>
    </row>
    <row r="52" spans="1:15" x14ac:dyDescent="0.2">
      <c r="F52" s="171"/>
      <c r="G52" s="171"/>
      <c r="H52" s="171"/>
      <c r="I52" s="171"/>
      <c r="J52" s="171"/>
    </row>
    <row r="53" spans="1:15" ht="23.25" x14ac:dyDescent="0.35">
      <c r="A53" s="35" t="str">
        <f>Feuil1!AE53</f>
        <v>Pasteurisation</v>
      </c>
      <c r="C53" s="101">
        <v>0.95</v>
      </c>
      <c r="D53" s="45" t="str">
        <f>Feuil1!AH53</f>
        <v>(5% de perte)</v>
      </c>
      <c r="E53" s="45"/>
      <c r="F53" s="26">
        <f>Variables!B24</f>
        <v>45000</v>
      </c>
      <c r="G53" s="26">
        <f>G3*$C$53</f>
        <v>11400</v>
      </c>
      <c r="H53" s="26">
        <f>H3*$C$53</f>
        <v>23750</v>
      </c>
      <c r="I53" s="26">
        <f>I3*$C$53</f>
        <v>47500</v>
      </c>
      <c r="J53" s="26">
        <f>J3*$C$53</f>
        <v>76000</v>
      </c>
    </row>
    <row r="54" spans="1:15" x14ac:dyDescent="0.2">
      <c r="F54" s="13"/>
      <c r="G54" s="13"/>
      <c r="H54" s="13"/>
      <c r="I54" s="13"/>
      <c r="J54" s="13"/>
    </row>
    <row r="55" spans="1:15" ht="15" x14ac:dyDescent="0.25">
      <c r="A55" s="10" t="str">
        <f>Feuil1!AE55</f>
        <v>Pasteurisateur</v>
      </c>
      <c r="C55" s="9" t="str">
        <f>Variables!B34</f>
        <v>elektrisch</v>
      </c>
      <c r="F55" s="59">
        <f>Variables!B35</f>
        <v>6000</v>
      </c>
      <c r="G55" s="11"/>
      <c r="H55" s="13"/>
      <c r="I55" s="13"/>
      <c r="J55" s="13"/>
    </row>
    <row r="56" spans="1:15" ht="15" x14ac:dyDescent="0.25">
      <c r="A56" s="10" t="str">
        <f>Feuil1!AE56</f>
        <v>Remplisseuse</v>
      </c>
      <c r="F56" s="59">
        <f>F10</f>
        <v>3000</v>
      </c>
      <c r="G56" s="59">
        <v>1200</v>
      </c>
      <c r="H56" s="59">
        <v>2800</v>
      </c>
      <c r="I56" s="59">
        <v>7500</v>
      </c>
      <c r="J56" s="59">
        <v>12000</v>
      </c>
    </row>
    <row r="58" spans="1:15" ht="15.75" x14ac:dyDescent="0.25">
      <c r="A58" s="8" t="str">
        <f>Feuil1!AE58</f>
        <v>Coûts fixes</v>
      </c>
    </row>
    <row r="59" spans="1:15" ht="15" x14ac:dyDescent="0.25">
      <c r="A59" s="10" t="str">
        <f>Feuil1!AE59</f>
        <v>amortissement</v>
      </c>
      <c r="O59" s="9">
        <v>1</v>
      </c>
    </row>
    <row r="60" spans="1:15" x14ac:dyDescent="0.2">
      <c r="A60" s="45" t="str">
        <f>Feuil1!AE60</f>
        <v>appareil</v>
      </c>
      <c r="C60" s="9">
        <f>Variables!B27</f>
        <v>15</v>
      </c>
      <c r="D60" s="9" t="s">
        <v>11</v>
      </c>
      <c r="F60" s="11">
        <f>IF(Variables!B27&gt;15,(F55+F56)/C60*1.1,(F55+F56)/C60)</f>
        <v>600</v>
      </c>
      <c r="G60" s="11" t="e">
        <f>#REF!/$C$60</f>
        <v>#REF!</v>
      </c>
      <c r="H60" s="11" t="e">
        <f>#REF!/$C$60</f>
        <v>#REF!</v>
      </c>
      <c r="I60" s="11" t="e">
        <f>#REF!/$C$60</f>
        <v>#REF!</v>
      </c>
      <c r="J60" s="11" t="e">
        <f>#REF!/$C$60</f>
        <v>#REF!</v>
      </c>
      <c r="K60" s="70"/>
    </row>
    <row r="61" spans="1:15" x14ac:dyDescent="0.2">
      <c r="F61" s="13"/>
      <c r="G61" s="13"/>
      <c r="H61" s="13"/>
      <c r="I61" s="13"/>
      <c r="J61" s="13"/>
    </row>
    <row r="62" spans="1:15" ht="15" x14ac:dyDescent="0.25">
      <c r="A62" s="10" t="str">
        <f>Feuil1!AE66</f>
        <v>Total coûts fixes pasteurisation</v>
      </c>
      <c r="F62" s="13"/>
      <c r="G62" s="13"/>
      <c r="H62" s="13"/>
      <c r="I62" s="13"/>
      <c r="J62" s="13"/>
    </row>
    <row r="63" spans="1:15" x14ac:dyDescent="0.2">
      <c r="A63" s="14">
        <v>0.6</v>
      </c>
      <c r="B63" s="45" t="str">
        <f>Feuil1!AF63</f>
        <v xml:space="preserve">du capital à </v>
      </c>
      <c r="D63" s="14">
        <v>0.03</v>
      </c>
      <c r="E63" s="14"/>
      <c r="F63" s="12">
        <f>0.6*(F55+F56)*$D$63</f>
        <v>162</v>
      </c>
      <c r="G63" s="12" t="e">
        <f>0.6*(#REF!+G56)*$D$63</f>
        <v>#REF!</v>
      </c>
      <c r="H63" s="12" t="e">
        <f>0.6*(#REF!+H56)*$D$63</f>
        <v>#REF!</v>
      </c>
      <c r="I63" s="12" t="e">
        <f>0.6*(#REF!+I56)*$D$63</f>
        <v>#REF!</v>
      </c>
      <c r="J63" s="12" t="e">
        <f>0.6*(#REF!+J56)*$D$63</f>
        <v>#REF!</v>
      </c>
    </row>
    <row r="64" spans="1:15" ht="10.9" customHeight="1" x14ac:dyDescent="0.2">
      <c r="F64" s="13"/>
      <c r="G64" s="13"/>
      <c r="H64" s="13"/>
      <c r="I64" s="13"/>
      <c r="J64" s="13"/>
    </row>
    <row r="65" spans="1:10" x14ac:dyDescent="0.2">
      <c r="F65" s="13"/>
      <c r="G65" s="13"/>
      <c r="H65" s="13"/>
      <c r="I65" s="13"/>
      <c r="J65" s="13"/>
    </row>
    <row r="66" spans="1:10" ht="15" x14ac:dyDescent="0.25">
      <c r="A66" s="16" t="str">
        <f>Feuil1!AE66</f>
        <v>Total coûts fixes pasteurisation</v>
      </c>
      <c r="B66" s="10"/>
      <c r="C66" s="10"/>
      <c r="D66" s="10"/>
      <c r="E66" s="10"/>
      <c r="F66" s="17">
        <f>F60+F63</f>
        <v>762</v>
      </c>
      <c r="G66" s="17" t="e">
        <f>G60+#REF!+G63+#REF!</f>
        <v>#REF!</v>
      </c>
      <c r="H66" s="17" t="e">
        <f>H60+#REF!+H63+#REF!</f>
        <v>#REF!</v>
      </c>
      <c r="I66" s="17" t="e">
        <f>I60+#REF!+I63+#REF!</f>
        <v>#REF!</v>
      </c>
      <c r="J66" s="17" t="e">
        <f>J60+#REF!+J63+#REF!</f>
        <v>#REF!</v>
      </c>
    </row>
    <row r="67" spans="1:10" x14ac:dyDescent="0.2">
      <c r="A67" s="45" t="str">
        <f>Feuil1!AE67</f>
        <v>Coûts fixes pasteurisation par litre</v>
      </c>
      <c r="F67" s="12">
        <f>F66/F53</f>
        <v>1.6933333333333335E-2</v>
      </c>
      <c r="G67" s="12" t="e">
        <f>G66/G53</f>
        <v>#REF!</v>
      </c>
      <c r="H67" s="12" t="e">
        <f>H66/H53</f>
        <v>#REF!</v>
      </c>
      <c r="I67" s="12" t="e">
        <f>I66/I53</f>
        <v>#REF!</v>
      </c>
      <c r="J67" s="12" t="e">
        <f>J66/J53</f>
        <v>#REF!</v>
      </c>
    </row>
    <row r="69" spans="1:10" ht="15.75" x14ac:dyDescent="0.25">
      <c r="A69" s="8" t="str">
        <f>Feuil1!AE69</f>
        <v>Coûts variables</v>
      </c>
    </row>
    <row r="70" spans="1:10" ht="15" x14ac:dyDescent="0.25">
      <c r="A70" s="10" t="str">
        <f>Feuil1!AE70</f>
        <v>Energie</v>
      </c>
      <c r="B70" s="64">
        <f>Variables!B37/Variables!B36</f>
        <v>6.9444444444444446</v>
      </c>
      <c r="C70" s="9" t="s">
        <v>39</v>
      </c>
      <c r="D70" s="64">
        <f>(F53/100*B70)</f>
        <v>3125</v>
      </c>
      <c r="E70" s="64" t="s">
        <v>150</v>
      </c>
      <c r="F70" s="66"/>
      <c r="G70" s="13">
        <f>G53/100*$B$70</f>
        <v>791.66666666666674</v>
      </c>
      <c r="H70" s="13">
        <f>H53/100*$B$70</f>
        <v>1649.3055555555557</v>
      </c>
      <c r="I70" s="13">
        <f>I53/100*$B$70</f>
        <v>3298.6111111111113</v>
      </c>
      <c r="J70" s="13"/>
    </row>
    <row r="71" spans="1:10" x14ac:dyDescent="0.2">
      <c r="A71" s="45" t="str">
        <f>Feuil1!AE71</f>
        <v>Electricité</v>
      </c>
      <c r="C71" s="62">
        <f>Variables!B48</f>
        <v>0.22</v>
      </c>
      <c r="D71" s="45" t="s">
        <v>125</v>
      </c>
      <c r="E71" s="45"/>
      <c r="F71" s="12">
        <f>C71*D$70</f>
        <v>687.5</v>
      </c>
      <c r="G71" s="12">
        <f>G70*C71</f>
        <v>174.16666666666669</v>
      </c>
      <c r="H71" s="12">
        <f>H70*C71</f>
        <v>362.84722222222223</v>
      </c>
      <c r="I71" s="12">
        <f>I70*C71</f>
        <v>725.69444444444446</v>
      </c>
      <c r="J71" s="12"/>
    </row>
    <row r="72" spans="1:10" x14ac:dyDescent="0.2">
      <c r="A72" s="45" t="str">
        <f>Feuil1!AE72</f>
        <v>Mazout</v>
      </c>
      <c r="C72" s="62">
        <f>Variables!B49/10*0.46</f>
        <v>0</v>
      </c>
      <c r="D72" s="45" t="s">
        <v>125</v>
      </c>
      <c r="E72" s="45"/>
      <c r="F72" s="12">
        <f>C72*D$70</f>
        <v>0</v>
      </c>
      <c r="G72" s="13"/>
      <c r="H72" s="13"/>
      <c r="I72" s="13"/>
      <c r="J72" s="12">
        <f>J53/100*C72</f>
        <v>0</v>
      </c>
    </row>
    <row r="73" spans="1:10" x14ac:dyDescent="0.2">
      <c r="A73" s="45" t="str">
        <f>Feuil1!AE73</f>
        <v>Gaz</v>
      </c>
      <c r="C73" s="62">
        <f>Variables!B50</f>
        <v>0</v>
      </c>
      <c r="D73" s="45" t="s">
        <v>125</v>
      </c>
      <c r="E73" s="45"/>
      <c r="F73" s="12">
        <f>C73*D$70</f>
        <v>0</v>
      </c>
      <c r="G73" s="13"/>
      <c r="H73" s="13"/>
      <c r="I73" s="13"/>
      <c r="J73" s="12"/>
    </row>
    <row r="74" spans="1:10" x14ac:dyDescent="0.2">
      <c r="C74" s="15"/>
      <c r="F74" s="13"/>
      <c r="G74" s="13"/>
      <c r="H74" s="13"/>
      <c r="I74" s="13"/>
      <c r="J74" s="12"/>
    </row>
    <row r="75" spans="1:10" ht="15" x14ac:dyDescent="0.25">
      <c r="A75" s="10" t="str">
        <f>Feuil1!AE75</f>
        <v>Entretien</v>
      </c>
      <c r="B75" s="45" t="str">
        <f>Feuil1!AF75</f>
        <v>Pasteurisateur</v>
      </c>
      <c r="C75" s="9">
        <f>IF(C55=Feuil1!A19,0.5,0.3)</f>
        <v>0.3</v>
      </c>
      <c r="D75" s="45" t="str">
        <f>Feuil1!AH75</f>
        <v>heures / 1000 l</v>
      </c>
      <c r="E75" s="13">
        <f>F53/1000*$C$75</f>
        <v>13.5</v>
      </c>
      <c r="G75" s="13"/>
      <c r="H75" s="13"/>
      <c r="I75" s="13"/>
      <c r="J75" s="13"/>
    </row>
    <row r="76" spans="1:10" x14ac:dyDescent="0.2">
      <c r="C76" s="62">
        <f>Variables!B11</f>
        <v>35</v>
      </c>
      <c r="F76" s="12">
        <f>F53/1000*$C$75*$C$76</f>
        <v>472.5</v>
      </c>
      <c r="G76" s="12" t="e">
        <f>G53/1000*#REF!*$C$76</f>
        <v>#REF!</v>
      </c>
      <c r="H76" s="12" t="e">
        <f>H53/1000*#REF!*$C$76</f>
        <v>#REF!</v>
      </c>
      <c r="I76" s="12" t="e">
        <f>I53/1000*#REF!*$C$76</f>
        <v>#REF!</v>
      </c>
      <c r="J76" s="12" t="e">
        <f>J53/1000*#REF!*$C$76</f>
        <v>#REF!</v>
      </c>
    </row>
    <row r="77" spans="1:10" x14ac:dyDescent="0.2">
      <c r="F77" s="13"/>
      <c r="G77" s="13"/>
      <c r="H77" s="13"/>
      <c r="I77" s="13"/>
      <c r="J77" s="13"/>
    </row>
    <row r="78" spans="1:10" ht="15" x14ac:dyDescent="0.25">
      <c r="A78" s="10" t="str">
        <f>Feuil1!S78</f>
        <v>Réparation</v>
      </c>
      <c r="C78" s="14">
        <v>0.05</v>
      </c>
      <c r="D78" s="45" t="s">
        <v>224</v>
      </c>
      <c r="F78" s="11">
        <f>(F55+F56)*$C$78</f>
        <v>450</v>
      </c>
      <c r="G78" s="11" t="e">
        <f>(#REF!+G56)*$C$78</f>
        <v>#REF!</v>
      </c>
      <c r="H78" s="11" t="e">
        <f>(#REF!+H56)*$C$78</f>
        <v>#REF!</v>
      </c>
      <c r="I78" s="11" t="e">
        <f>(#REF!+I56)*$C$78</f>
        <v>#REF!</v>
      </c>
      <c r="J78" s="11" t="e">
        <f>(#REF!+J56)*$C$78</f>
        <v>#REF!</v>
      </c>
    </row>
    <row r="79" spans="1:10" x14ac:dyDescent="0.2">
      <c r="F79" s="13"/>
      <c r="G79" s="13"/>
      <c r="H79" s="13"/>
      <c r="I79" s="13"/>
      <c r="J79" s="13"/>
    </row>
    <row r="80" spans="1:10" ht="15" x14ac:dyDescent="0.25">
      <c r="A80" s="10" t="str">
        <f>Feuil1!AE80</f>
        <v>Travail</v>
      </c>
      <c r="B80" s="45" t="str">
        <f>Feuil1!AF80</f>
        <v>L/heure</v>
      </c>
      <c r="C80" s="45" t="str">
        <f>Feuil1!AG80</f>
        <v>besoin en personnel</v>
      </c>
      <c r="F80" s="13"/>
      <c r="G80" s="13"/>
      <c r="H80" s="13"/>
      <c r="I80" s="13"/>
      <c r="J80" s="13"/>
    </row>
    <row r="81" spans="1:10" x14ac:dyDescent="0.2">
      <c r="A81" s="45" t="str">
        <f>Feuil1!AE81</f>
        <v>Pasteur</v>
      </c>
      <c r="B81" s="9">
        <f>Variables!B33</f>
        <v>300</v>
      </c>
      <c r="C81" s="9">
        <f>IF(B81&lt;201,"1",IF(B81&lt;301,1.25,IF(B81&lt;451,1.5,1.5)))</f>
        <v>1.25</v>
      </c>
      <c r="D81" s="45" t="str">
        <f>Feuil1!AH81</f>
        <v>heurs/x litres</v>
      </c>
      <c r="E81" s="27">
        <f>F53/$B81*$C81</f>
        <v>187.5</v>
      </c>
      <c r="G81" s="13"/>
      <c r="H81" s="13"/>
      <c r="I81" s="13"/>
      <c r="J81" s="13"/>
    </row>
    <row r="82" spans="1:10" x14ac:dyDescent="0.2">
      <c r="C82" s="62">
        <f>Variables!B11</f>
        <v>35</v>
      </c>
      <c r="F82" s="12">
        <f>E81*$C$82</f>
        <v>6562.5</v>
      </c>
      <c r="G82" s="12" t="e">
        <f>#REF!*$C$82</f>
        <v>#REF!</v>
      </c>
      <c r="H82" s="12" t="e">
        <f>#REF!*$C$82</f>
        <v>#REF!</v>
      </c>
      <c r="I82" s="12" t="e">
        <f>#REF!*$C$82</f>
        <v>#REF!</v>
      </c>
      <c r="J82" s="12" t="e">
        <f>#REF!*$C$82</f>
        <v>#REF!</v>
      </c>
    </row>
    <row r="83" spans="1:10" x14ac:dyDescent="0.2">
      <c r="B83" s="45" t="str">
        <f>Feuil1!AF83</f>
        <v>Temps/1000l</v>
      </c>
      <c r="C83" s="62"/>
      <c r="F83" s="12"/>
      <c r="G83" s="12"/>
      <c r="H83" s="12"/>
      <c r="I83" s="12"/>
      <c r="J83" s="12"/>
    </row>
    <row r="84" spans="1:10" x14ac:dyDescent="0.2">
      <c r="A84" s="45" t="str">
        <f>Feuil1!AE84</f>
        <v>Nettoyage</v>
      </c>
      <c r="B84" s="9">
        <v>0.6</v>
      </c>
      <c r="C84" s="15" t="str">
        <f>Feuil1!AG84</f>
        <v>heures</v>
      </c>
      <c r="F84" s="12"/>
      <c r="G84" s="12"/>
      <c r="H84" s="12"/>
      <c r="I84" s="12"/>
      <c r="J84" s="12"/>
    </row>
    <row r="85" spans="1:10" x14ac:dyDescent="0.2">
      <c r="C85" s="62">
        <f>Variables!B11</f>
        <v>35</v>
      </c>
      <c r="E85" s="13">
        <f>F53/1000*B84</f>
        <v>27</v>
      </c>
      <c r="F85" s="12">
        <f>F53/1000*$B$84*$C$85</f>
        <v>945</v>
      </c>
      <c r="G85" s="12">
        <f>G53/1000*$B$84*$C$85</f>
        <v>239.4</v>
      </c>
      <c r="H85" s="12">
        <f>H53/1000*$B$84*$C$85</f>
        <v>498.75</v>
      </c>
      <c r="I85" s="12">
        <f>I53/1000*$B$84*$C$85</f>
        <v>997.5</v>
      </c>
      <c r="J85" s="12">
        <f>J53/1000*$B$84*$C$85</f>
        <v>1596</v>
      </c>
    </row>
    <row r="86" spans="1:10" x14ac:dyDescent="0.2">
      <c r="F86" s="13"/>
      <c r="G86" s="13"/>
      <c r="H86" s="13"/>
      <c r="I86" s="13"/>
      <c r="J86" s="13"/>
    </row>
    <row r="87" spans="1:10" ht="15" x14ac:dyDescent="0.25">
      <c r="A87" s="16" t="str">
        <f>Feuil1!AE87</f>
        <v>Total coûts variables pasteurisation</v>
      </c>
      <c r="B87" s="10"/>
      <c r="C87" s="10"/>
      <c r="D87" s="10"/>
      <c r="E87" s="10"/>
      <c r="F87" s="17">
        <f>F85+F82+F78+F76+F71+F72+F73</f>
        <v>9117.5</v>
      </c>
      <c r="G87" s="17" t="e">
        <f>G85+G82+G78+G76+G71</f>
        <v>#REF!</v>
      </c>
      <c r="H87" s="17" t="e">
        <f>H85+H82+H78+H76+H71</f>
        <v>#REF!</v>
      </c>
      <c r="I87" s="17" t="e">
        <f>I85+I82+I78+I76+I71</f>
        <v>#REF!</v>
      </c>
      <c r="J87" s="17" t="e">
        <f>J85+J82+J78+J76+J72</f>
        <v>#REF!</v>
      </c>
    </row>
    <row r="88" spans="1:10" x14ac:dyDescent="0.2">
      <c r="A88" s="9" t="str">
        <f>Feuil1!AE88</f>
        <v>Coûts variables pasteurisation par litre</v>
      </c>
      <c r="F88" s="12">
        <f>F87/F53</f>
        <v>0.2026111111111111</v>
      </c>
      <c r="G88" s="12" t="e">
        <f>G87/G53</f>
        <v>#REF!</v>
      </c>
      <c r="H88" s="12" t="e">
        <f>H87/H53</f>
        <v>#REF!</v>
      </c>
      <c r="I88" s="12" t="e">
        <f>I87/I53</f>
        <v>#REF!</v>
      </c>
      <c r="J88" s="12" t="e">
        <f>J87/J53</f>
        <v>#REF!</v>
      </c>
    </row>
    <row r="89" spans="1:10" ht="13.5" thickBot="1" x14ac:dyDescent="0.25">
      <c r="F89" s="28"/>
      <c r="G89" s="28"/>
      <c r="H89" s="28"/>
      <c r="I89" s="28"/>
      <c r="J89" s="28"/>
    </row>
    <row r="90" spans="1:10" ht="15.75" thickBot="1" x14ac:dyDescent="0.3">
      <c r="A90" s="20" t="str">
        <f>Feuil1!AE90</f>
        <v>Coûts total brut de la pasteurisation</v>
      </c>
      <c r="B90" s="21"/>
      <c r="C90" s="21"/>
      <c r="D90" s="21"/>
      <c r="E90" s="21"/>
      <c r="F90" s="22">
        <f>F66+F87</f>
        <v>9879.5</v>
      </c>
      <c r="G90" s="22" t="e">
        <f>G66+G87</f>
        <v>#REF!</v>
      </c>
      <c r="H90" s="22" t="e">
        <f>H66+H87</f>
        <v>#REF!</v>
      </c>
      <c r="I90" s="22" t="e">
        <f>I66+I87</f>
        <v>#REF!</v>
      </c>
      <c r="J90" s="23" t="e">
        <f>J66+J87</f>
        <v>#REF!</v>
      </c>
    </row>
    <row r="91" spans="1:10" x14ac:dyDescent="0.2">
      <c r="A91" s="24" t="str">
        <f>Feuil1!AE91</f>
        <v>Coûts total brut de la pasteurisation au litre</v>
      </c>
      <c r="B91" s="24"/>
      <c r="C91" s="24"/>
      <c r="D91" s="24"/>
      <c r="E91" s="24"/>
      <c r="F91" s="25">
        <f>F90/F53</f>
        <v>0.21954444444444443</v>
      </c>
      <c r="G91" s="25" t="e">
        <f>G90/G53</f>
        <v>#REF!</v>
      </c>
      <c r="H91" s="25" t="e">
        <f>H90/H53</f>
        <v>#REF!</v>
      </c>
      <c r="I91" s="25" t="e">
        <f>I90/I53</f>
        <v>#REF!</v>
      </c>
      <c r="J91" s="25" t="e">
        <f>J90/J53</f>
        <v>#REF!</v>
      </c>
    </row>
    <row r="92" spans="1:10" ht="13.5" thickBot="1" x14ac:dyDescent="0.25"/>
    <row r="93" spans="1:10" ht="24" thickBot="1" x14ac:dyDescent="0.4">
      <c r="A93" s="36" t="str">
        <f>Feuil1!AE93</f>
        <v>Coûts de production</v>
      </c>
      <c r="B93" s="29"/>
      <c r="C93" s="29"/>
    </row>
    <row r="95" spans="1:10" x14ac:dyDescent="0.2">
      <c r="F95" s="13"/>
      <c r="G95" s="13"/>
      <c r="H95" s="13"/>
      <c r="I95" s="13"/>
      <c r="J95" s="13"/>
    </row>
    <row r="96" spans="1:10" s="10" customFormat="1" ht="15" x14ac:dyDescent="0.25">
      <c r="A96" s="31" t="str">
        <f>Feuil1!AE96</f>
        <v>1. Coûts total brut au pressoir</v>
      </c>
      <c r="B96" s="31"/>
      <c r="C96" s="31"/>
      <c r="D96" s="31"/>
      <c r="E96" s="31"/>
      <c r="F96" s="17">
        <f>F49</f>
        <v>19993.701754385962</v>
      </c>
      <c r="G96" s="17">
        <f>G49</f>
        <v>70095.322807017539</v>
      </c>
      <c r="H96" s="17" t="e">
        <f>H49</f>
        <v>#REF!</v>
      </c>
      <c r="I96" s="17" t="e">
        <f>I49</f>
        <v>#REF!</v>
      </c>
      <c r="J96" s="17" t="e">
        <f>J49</f>
        <v>#REF!</v>
      </c>
    </row>
    <row r="97" spans="1:13" ht="15" x14ac:dyDescent="0.25">
      <c r="A97" s="31"/>
      <c r="D97" s="9" t="str">
        <f>Feuil1!AH97</f>
        <v>par Liter</v>
      </c>
      <c r="F97" s="27">
        <f>F96/F53</f>
        <v>0.44430448343079915</v>
      </c>
      <c r="G97" s="27">
        <f>G50</f>
        <v>5.8412769005847949</v>
      </c>
      <c r="H97" s="27" t="e">
        <f>H50</f>
        <v>#REF!</v>
      </c>
      <c r="I97" s="27" t="e">
        <f>I50</f>
        <v>#REF!</v>
      </c>
      <c r="J97" s="27" t="e">
        <f>J50</f>
        <v>#REF!</v>
      </c>
    </row>
    <row r="98" spans="1:13" ht="15" x14ac:dyDescent="0.25">
      <c r="A98" s="31"/>
      <c r="F98" s="13"/>
      <c r="G98" s="13"/>
      <c r="H98" s="13"/>
      <c r="I98" s="13"/>
      <c r="J98" s="13"/>
    </row>
    <row r="99" spans="1:13" ht="15" x14ac:dyDescent="0.25">
      <c r="A99" s="31" t="str">
        <f>Feuil1!AE99</f>
        <v>2. Clarification</v>
      </c>
      <c r="C99" s="62">
        <f>IF(Variables!B59=0,0,Variables!B59)</f>
        <v>0.1</v>
      </c>
      <c r="D99" s="9" t="str">
        <f>Feuil1!AH99</f>
        <v>par litre</v>
      </c>
      <c r="E99" s="27">
        <f>F99/30/4</f>
        <v>39.473684210526322</v>
      </c>
      <c r="F99" s="17">
        <f>C99*F6</f>
        <v>4736.8421052631584</v>
      </c>
      <c r="G99" s="17">
        <f>G3*$C$99</f>
        <v>1200</v>
      </c>
      <c r="H99" s="17">
        <f>H3*$C$99</f>
        <v>2500</v>
      </c>
      <c r="I99" s="17">
        <f>I3*$C$99</f>
        <v>5000</v>
      </c>
      <c r="J99" s="17">
        <f>J3*$C$99</f>
        <v>8000</v>
      </c>
    </row>
    <row r="100" spans="1:13" ht="15" x14ac:dyDescent="0.25">
      <c r="A100" s="31"/>
      <c r="F100" s="11">
        <f>C99</f>
        <v>0.1</v>
      </c>
      <c r="G100" s="11">
        <v>0.1</v>
      </c>
      <c r="H100" s="11">
        <v>0.1</v>
      </c>
      <c r="I100" s="11">
        <v>0.1</v>
      </c>
      <c r="J100" s="11">
        <v>0.1</v>
      </c>
    </row>
    <row r="101" spans="1:13" ht="15" x14ac:dyDescent="0.25">
      <c r="A101" s="31"/>
      <c r="F101" s="11"/>
      <c r="G101" s="11"/>
      <c r="H101" s="11"/>
      <c r="I101" s="11"/>
      <c r="J101" s="11"/>
    </row>
    <row r="102" spans="1:13" ht="15" x14ac:dyDescent="0.25">
      <c r="A102" s="31" t="str">
        <f>Feuil1!AE102</f>
        <v>3. Coûts total brut de la pasteurisation</v>
      </c>
      <c r="F102" s="30">
        <f t="shared" ref="F102:J103" si="0">F90</f>
        <v>9879.5</v>
      </c>
      <c r="G102" s="30" t="e">
        <f t="shared" si="0"/>
        <v>#REF!</v>
      </c>
      <c r="H102" s="30" t="e">
        <f t="shared" si="0"/>
        <v>#REF!</v>
      </c>
      <c r="I102" s="30" t="e">
        <f t="shared" si="0"/>
        <v>#REF!</v>
      </c>
      <c r="J102" s="30" t="e">
        <f t="shared" si="0"/>
        <v>#REF!</v>
      </c>
    </row>
    <row r="103" spans="1:13" ht="15" x14ac:dyDescent="0.25">
      <c r="A103" s="31" t="str">
        <f>Feuil1!AE103</f>
        <v>inclus remplissage</v>
      </c>
      <c r="D103" s="9" t="str">
        <f>Feuil1!AH103</f>
        <v>par litre</v>
      </c>
      <c r="F103" s="11">
        <f>F102/F53</f>
        <v>0.21954444444444443</v>
      </c>
      <c r="G103" s="11" t="e">
        <f t="shared" si="0"/>
        <v>#REF!</v>
      </c>
      <c r="H103" s="11" t="e">
        <f t="shared" si="0"/>
        <v>#REF!</v>
      </c>
      <c r="I103" s="11" t="e">
        <f t="shared" si="0"/>
        <v>#REF!</v>
      </c>
      <c r="J103" s="11" t="e">
        <f t="shared" si="0"/>
        <v>#REF!</v>
      </c>
    </row>
    <row r="104" spans="1:13" ht="15" x14ac:dyDescent="0.25">
      <c r="A104" s="31"/>
      <c r="F104" s="11"/>
      <c r="G104" s="61"/>
      <c r="H104" s="61"/>
      <c r="I104" s="61"/>
      <c r="J104" s="61"/>
    </row>
    <row r="105" spans="1:13" ht="15" x14ac:dyDescent="0.25">
      <c r="A105" s="31" t="str">
        <f>Feuil1!AE105</f>
        <v>5. Contenant</v>
      </c>
      <c r="D105" s="62">
        <f>Variables!B54</f>
        <v>1.8</v>
      </c>
      <c r="E105" s="68" t="s">
        <v>159</v>
      </c>
      <c r="F105" s="17">
        <f>Calculateur!F53/Variables!B56*$D$105</f>
        <v>16200</v>
      </c>
    </row>
    <row r="106" spans="1:13" ht="15" x14ac:dyDescent="0.25">
      <c r="A106" s="31"/>
      <c r="D106" s="45" t="str">
        <f>Feuil1!AH106</f>
        <v>par litre</v>
      </c>
      <c r="F106" s="12">
        <f>$D$105/Variables!B56</f>
        <v>0.36</v>
      </c>
    </row>
    <row r="107" spans="1:13" ht="15" x14ac:dyDescent="0.25">
      <c r="A107" s="31"/>
      <c r="F107" s="13"/>
      <c r="G107" s="13"/>
      <c r="H107" s="13"/>
      <c r="I107" s="13"/>
      <c r="J107" s="13"/>
    </row>
    <row r="108" spans="1:13" ht="15" x14ac:dyDescent="0.25">
      <c r="A108" s="31" t="str">
        <f>Feuil1!AE108</f>
        <v>6. Coûts divers</v>
      </c>
      <c r="B108" s="45"/>
      <c r="C108" s="45"/>
      <c r="D108" s="67">
        <f>Variables!B65/100</f>
        <v>7.0000000000000007E-2</v>
      </c>
      <c r="E108" s="81">
        <f>F108/Variables!B11/2</f>
        <v>59.560043859649134</v>
      </c>
      <c r="F108" s="17">
        <f>('Résultats-ergebnis'!F23+F96+F99+F102+Calculateur!F105)*$D$108</f>
        <v>4169.2030701754393</v>
      </c>
      <c r="G108" s="17" t="e">
        <f>('Résultats-ergebnis'!#REF!+G96+G99+G102+'Résultats-ergebnis'!#REF!)*$D$108</f>
        <v>#REF!</v>
      </c>
      <c r="H108" s="17" t="e">
        <f>('Résultats-ergebnis'!#REF!+H96+H99+H102+'Résultats-ergebnis'!#REF!)*$D$108</f>
        <v>#REF!</v>
      </c>
      <c r="I108" s="17" t="e">
        <f>('Résultats-ergebnis'!#REF!+I96+I99+I102+'Résultats-ergebnis'!#REF!)*$D$108</f>
        <v>#REF!</v>
      </c>
      <c r="J108" s="17" t="e">
        <f>('Résultats-ergebnis'!#REF!+J96+J99+J102+'Résultats-ergebnis'!#REF!)*$D$108</f>
        <v>#REF!</v>
      </c>
      <c r="L108" s="70"/>
    </row>
    <row r="109" spans="1:13" x14ac:dyDescent="0.2">
      <c r="A109" s="45" t="str">
        <f>Feuil1!AE109</f>
        <v>Administration, formation, cottisations pro, concours, publicité, risques ...)</v>
      </c>
      <c r="B109" s="45"/>
      <c r="C109" s="45"/>
      <c r="D109" s="45"/>
      <c r="E109" s="45"/>
      <c r="F109" s="82">
        <f>F108/F53</f>
        <v>9.2648957115009756E-2</v>
      </c>
      <c r="G109" s="12" t="e">
        <f>G108/G3</f>
        <v>#REF!</v>
      </c>
      <c r="H109" s="12" t="e">
        <f>H108/H3</f>
        <v>#REF!</v>
      </c>
      <c r="I109" s="12" t="e">
        <f>I108/I3</f>
        <v>#REF!</v>
      </c>
      <c r="J109" s="12" t="e">
        <f>J108/J3</f>
        <v>#REF!</v>
      </c>
    </row>
    <row r="110" spans="1:13" ht="13.5" thickBot="1" x14ac:dyDescent="0.25">
      <c r="F110" s="42"/>
      <c r="G110" s="42"/>
      <c r="H110" s="42"/>
      <c r="I110" s="42"/>
      <c r="J110" s="42"/>
    </row>
    <row r="111" spans="1:13" ht="15.75" thickBot="1" x14ac:dyDescent="0.3">
      <c r="A111" s="10" t="s">
        <v>164</v>
      </c>
      <c r="G111" s="51" t="e">
        <f>G108+'Résultats-ergebnis'!#REF!+G102+G99+G96+'Résultats-ergebnis'!#REF!</f>
        <v>#REF!</v>
      </c>
      <c r="H111" s="51" t="e">
        <f>H108+'Résultats-ergebnis'!#REF!+H102+H99+H96+'Résultats-ergebnis'!#REF!</f>
        <v>#REF!</v>
      </c>
      <c r="I111" s="51" t="e">
        <f>I108+'Résultats-ergebnis'!#REF!+I102+I99+I96+'Résultats-ergebnis'!#REF!</f>
        <v>#REF!</v>
      </c>
      <c r="J111" s="52" t="e">
        <f>J108+'Résultats-ergebnis'!#REF!+J102+J99+J96+'Résultats-ergebnis'!#REF!</f>
        <v>#REF!</v>
      </c>
    </row>
    <row r="112" spans="1:13" ht="15.75" thickBot="1" x14ac:dyDescent="0.3">
      <c r="D112" s="45" t="str">
        <f>Feuil1!AH112</f>
        <v>Total</v>
      </c>
      <c r="F112" s="50">
        <f>F108+F102+F99+F96+F105</f>
        <v>54979.246929824556</v>
      </c>
      <c r="G112" s="54" t="e">
        <f>G111/G3</f>
        <v>#REF!</v>
      </c>
      <c r="H112" s="54" t="e">
        <f>H111/H3</f>
        <v>#REF!</v>
      </c>
      <c r="I112" s="54" t="e">
        <f>I111/I3</f>
        <v>#REF!</v>
      </c>
      <c r="J112" s="55" t="e">
        <f>J111/J3</f>
        <v>#REF!</v>
      </c>
      <c r="K112" s="70"/>
      <c r="M112" s="45"/>
    </row>
    <row r="113" spans="1:11" ht="13.5" thickBot="1" x14ac:dyDescent="0.25">
      <c r="D113" s="45" t="str">
        <f>Feuil1!AH113</f>
        <v>par litre</v>
      </c>
      <c r="F113" s="53">
        <f>F97+F100+F103+F106+F109</f>
        <v>1.2164978849902532</v>
      </c>
      <c r="G113" s="32" t="e">
        <f>G44+G85+(0.25*G99)+(5*G108)</f>
        <v>#REF!</v>
      </c>
      <c r="H113" s="32" t="e">
        <f>H44+H85+(0.25*H99)+(5*H108)</f>
        <v>#REF!</v>
      </c>
      <c r="I113" s="32" t="e">
        <f>I44+I85+(0.25*I99)+(5*I108)</f>
        <v>#REF!</v>
      </c>
      <c r="J113" s="32" t="e">
        <f>J44+J85+(0.25*J99)+(5*J108)</f>
        <v>#REF!</v>
      </c>
    </row>
    <row r="114" spans="1:11" ht="13.5" thickBot="1" x14ac:dyDescent="0.25">
      <c r="D114" s="45">
        <f>Feuil1!AH114</f>
        <v>0</v>
      </c>
      <c r="F114" s="42"/>
      <c r="G114" s="32"/>
      <c r="H114" s="32"/>
      <c r="I114" s="32"/>
      <c r="J114" s="32"/>
    </row>
    <row r="115" spans="1:11" x14ac:dyDescent="0.2">
      <c r="B115" s="24" t="str">
        <f>Feuil1!AF115</f>
        <v>Dont main d'œuvre</v>
      </c>
      <c r="D115" s="45" t="str">
        <f>Feuil1!AH115</f>
        <v>Total heures</v>
      </c>
      <c r="E115" s="64">
        <f>E108+E99+E81+E75+E44+E37+E85</f>
        <v>552.03372807017547</v>
      </c>
      <c r="F115" s="72">
        <f>F44+F85+(0.25*F99)+(0.5*F108)+F82+F76+F38</f>
        <v>19123.812061403511</v>
      </c>
      <c r="G115" s="33" t="e">
        <f>G113/G3</f>
        <v>#REF!</v>
      </c>
      <c r="H115" s="33" t="e">
        <f>H113/H3</f>
        <v>#REF!</v>
      </c>
      <c r="I115" s="33" t="e">
        <f>I113/I3</f>
        <v>#REF!</v>
      </c>
      <c r="J115" s="33" t="e">
        <f>J113/J3</f>
        <v>#REF!</v>
      </c>
      <c r="K115" s="70"/>
    </row>
    <row r="116" spans="1:11" ht="13.5" thickBot="1" x14ac:dyDescent="0.25">
      <c r="D116" s="45" t="str">
        <f>Feuil1!AH116</f>
        <v>par Litre</v>
      </c>
      <c r="F116" s="73">
        <f>F115/F6</f>
        <v>0.40372492129629634</v>
      </c>
      <c r="G116" s="33"/>
      <c r="H116" s="33"/>
      <c r="I116" s="33"/>
      <c r="J116" s="33"/>
    </row>
    <row r="117" spans="1:11" x14ac:dyDescent="0.2">
      <c r="F117" s="33"/>
      <c r="G117" s="33"/>
      <c r="H117" s="33"/>
      <c r="I117" s="33"/>
      <c r="J117" s="33"/>
    </row>
    <row r="118" spans="1:11" x14ac:dyDescent="0.2">
      <c r="F118" s="33"/>
      <c r="G118" s="33"/>
      <c r="H118" s="33"/>
      <c r="I118" s="33"/>
      <c r="J118" s="33"/>
    </row>
    <row r="119" spans="1:11" x14ac:dyDescent="0.2">
      <c r="A119" s="45"/>
      <c r="F119" s="33"/>
      <c r="G119" s="33"/>
      <c r="H119" s="33"/>
      <c r="I119" s="33"/>
      <c r="J119" s="33"/>
    </row>
    <row r="120" spans="1:11" x14ac:dyDescent="0.2">
      <c r="A120" s="45"/>
      <c r="F120" s="33"/>
      <c r="G120" s="33"/>
      <c r="H120" s="33"/>
      <c r="I120" s="33"/>
      <c r="J120" s="33"/>
    </row>
    <row r="126" spans="1:11" x14ac:dyDescent="0.2">
      <c r="A126" s="34"/>
    </row>
  </sheetData>
  <sheetProtection sheet="1" objects="1" scenarios="1"/>
  <mergeCells count="2">
    <mergeCell ref="F2:J2"/>
    <mergeCell ref="F52:J52"/>
  </mergeCells>
  <phoneticPr fontId="10" type="noConversion"/>
  <pageMargins left="0.59055118110236227" right="0.59055118110236227" top="0.78740157480314965" bottom="0.78740157480314965" header="0.51181102362204722" footer="0.51181102362204722"/>
  <pageSetup paperSize="9" orientation="landscape" horizontalDpi="4294967293" r:id="rId1"/>
  <headerFooter alignWithMargins="0"/>
  <rowBreaks count="3" manualBreakCount="3">
    <brk id="29" max="8" man="1"/>
    <brk id="57" max="8" man="1"/>
    <brk id="83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35"/>
  <sheetViews>
    <sheetView topLeftCell="A49" workbookViewId="0">
      <selection activeCell="J71" sqref="J71"/>
    </sheetView>
  </sheetViews>
  <sheetFormatPr baseColWidth="10" defaultRowHeight="12.75" x14ac:dyDescent="0.2"/>
  <cols>
    <col min="1" max="1" width="58.85546875" customWidth="1"/>
    <col min="2" max="2" width="20.7109375" bestFit="1" customWidth="1"/>
    <col min="3" max="3" width="14.140625" bestFit="1" customWidth="1"/>
    <col min="4" max="4" width="12.5703125" bestFit="1" customWidth="1"/>
    <col min="5" max="5" width="17.85546875" customWidth="1"/>
  </cols>
  <sheetData>
    <row r="2" spans="1:5" ht="23.25" x14ac:dyDescent="0.35">
      <c r="A2" s="3" t="s">
        <v>116</v>
      </c>
    </row>
    <row r="3" spans="1:5" ht="33" customHeight="1" x14ac:dyDescent="0.25">
      <c r="A3" s="2" t="s">
        <v>88</v>
      </c>
      <c r="E3" s="57"/>
    </row>
    <row r="4" spans="1:5" ht="33" customHeight="1" x14ac:dyDescent="0.25">
      <c r="A4" s="2" t="s">
        <v>118</v>
      </c>
      <c r="E4" s="57"/>
    </row>
    <row r="5" spans="1:5" ht="33" customHeight="1" x14ac:dyDescent="0.2">
      <c r="E5" s="57"/>
    </row>
    <row r="6" spans="1:5" ht="33" customHeight="1" x14ac:dyDescent="0.2">
      <c r="E6" s="57"/>
    </row>
    <row r="7" spans="1:5" ht="23.25" x14ac:dyDescent="0.35">
      <c r="A7" s="3" t="s">
        <v>117</v>
      </c>
      <c r="E7" s="41">
        <v>5000</v>
      </c>
    </row>
    <row r="8" spans="1:5" ht="15" x14ac:dyDescent="0.25">
      <c r="A8" s="4" t="s">
        <v>2</v>
      </c>
      <c r="E8" s="6"/>
    </row>
    <row r="9" spans="1:5" x14ac:dyDescent="0.2">
      <c r="A9" t="s">
        <v>3</v>
      </c>
      <c r="E9" s="37">
        <v>12000</v>
      </c>
    </row>
    <row r="10" spans="1:5" x14ac:dyDescent="0.2">
      <c r="A10" t="s">
        <v>4</v>
      </c>
      <c r="E10" s="6"/>
    </row>
    <row r="11" spans="1:5" x14ac:dyDescent="0.2">
      <c r="A11" s="48" t="s">
        <v>83</v>
      </c>
      <c r="E11" s="6"/>
    </row>
    <row r="12" spans="1:5" x14ac:dyDescent="0.2">
      <c r="A12" t="s">
        <v>5</v>
      </c>
      <c r="E12" s="37">
        <v>3000</v>
      </c>
    </row>
    <row r="13" spans="1:5" x14ac:dyDescent="0.2">
      <c r="A13" t="s">
        <v>6</v>
      </c>
      <c r="E13" s="6"/>
    </row>
    <row r="14" spans="1:5" x14ac:dyDescent="0.2">
      <c r="E14" s="7"/>
    </row>
    <row r="16" spans="1:5" ht="15.75" x14ac:dyDescent="0.25">
      <c r="A16" s="8" t="s">
        <v>7</v>
      </c>
      <c r="B16" s="9"/>
      <c r="C16" s="9"/>
      <c r="D16" s="9"/>
      <c r="E16" s="9"/>
    </row>
    <row r="17" spans="1:5" ht="15" x14ac:dyDescent="0.25">
      <c r="A17" s="10" t="s">
        <v>8</v>
      </c>
      <c r="B17" s="9"/>
      <c r="C17" s="9"/>
      <c r="D17" s="9"/>
      <c r="E17" s="9"/>
    </row>
    <row r="18" spans="1:5" x14ac:dyDescent="0.2">
      <c r="A18" s="9" t="s">
        <v>9</v>
      </c>
      <c r="B18" s="9"/>
      <c r="C18" s="38">
        <v>15</v>
      </c>
      <c r="D18" s="9" t="s">
        <v>11</v>
      </c>
      <c r="E18" s="11">
        <f>E9/C18</f>
        <v>800</v>
      </c>
    </row>
    <row r="19" spans="1:5" x14ac:dyDescent="0.2">
      <c r="A19" s="9" t="s">
        <v>10</v>
      </c>
      <c r="B19" s="9"/>
      <c r="C19" s="38">
        <v>8</v>
      </c>
      <c r="D19" s="9" t="s">
        <v>11</v>
      </c>
      <c r="E19" s="12">
        <f>E12/C19</f>
        <v>375</v>
      </c>
    </row>
    <row r="20" spans="1:5" x14ac:dyDescent="0.2">
      <c r="A20" s="9"/>
      <c r="B20" s="9"/>
      <c r="C20" s="9"/>
      <c r="D20" s="9"/>
      <c r="E20" s="13"/>
    </row>
    <row r="21" spans="1:5" ht="15" x14ac:dyDescent="0.25">
      <c r="A21" s="10" t="s">
        <v>12</v>
      </c>
      <c r="B21" s="9"/>
      <c r="C21" s="9"/>
      <c r="D21" s="9"/>
      <c r="E21" s="13"/>
    </row>
    <row r="22" spans="1:5" x14ac:dyDescent="0.2">
      <c r="A22" s="14">
        <v>0.6</v>
      </c>
      <c r="B22" s="9" t="s">
        <v>13</v>
      </c>
      <c r="C22" s="9"/>
      <c r="D22" s="39">
        <v>0.03</v>
      </c>
      <c r="E22" s="12">
        <f>0.6*(E9+E12)*D22</f>
        <v>270</v>
      </c>
    </row>
    <row r="23" spans="1:5" x14ac:dyDescent="0.2">
      <c r="A23" s="9"/>
      <c r="B23" s="9"/>
      <c r="C23" s="9"/>
      <c r="D23" s="9"/>
      <c r="E23" s="13"/>
    </row>
    <row r="24" spans="1:5" ht="15" x14ac:dyDescent="0.25">
      <c r="A24" s="10" t="s">
        <v>14</v>
      </c>
      <c r="B24" s="9"/>
      <c r="C24" s="9"/>
      <c r="D24" s="9" t="s">
        <v>20</v>
      </c>
      <c r="E24" s="13">
        <v>15</v>
      </c>
    </row>
    <row r="25" spans="1:5" x14ac:dyDescent="0.2">
      <c r="A25" s="40">
        <v>30</v>
      </c>
      <c r="B25" s="9" t="s">
        <v>15</v>
      </c>
      <c r="C25" s="9"/>
      <c r="D25" s="9"/>
      <c r="E25" s="11">
        <f>E24*A25</f>
        <v>450</v>
      </c>
    </row>
    <row r="26" spans="1:5" x14ac:dyDescent="0.2">
      <c r="A26" s="9"/>
      <c r="B26" s="9"/>
      <c r="C26" s="9"/>
      <c r="D26" s="9"/>
      <c r="E26" s="13"/>
    </row>
    <row r="27" spans="1:5" ht="15" x14ac:dyDescent="0.25">
      <c r="A27" s="16" t="s">
        <v>16</v>
      </c>
      <c r="B27" s="10"/>
      <c r="C27" s="10"/>
      <c r="D27" s="10"/>
      <c r="E27" s="17">
        <f>E18+E19+E22+E25</f>
        <v>1895</v>
      </c>
    </row>
    <row r="28" spans="1:5" x14ac:dyDescent="0.2">
      <c r="A28" s="9" t="s">
        <v>17</v>
      </c>
      <c r="B28" s="9"/>
      <c r="C28" s="9"/>
      <c r="D28" s="9"/>
      <c r="E28" s="12">
        <f>E27/E7</f>
        <v>0.379</v>
      </c>
    </row>
    <row r="29" spans="1:5" x14ac:dyDescent="0.2">
      <c r="A29" s="9"/>
      <c r="B29" s="9"/>
      <c r="C29" s="9"/>
      <c r="D29" s="9"/>
      <c r="E29" s="9"/>
    </row>
    <row r="30" spans="1:5" x14ac:dyDescent="0.2">
      <c r="A30" s="9"/>
      <c r="B30" s="9"/>
      <c r="C30" s="9"/>
      <c r="D30" s="9"/>
      <c r="E30" s="9"/>
    </row>
    <row r="31" spans="1:5" ht="15.75" x14ac:dyDescent="0.25">
      <c r="A31" s="8" t="s">
        <v>18</v>
      </c>
      <c r="B31" s="9"/>
      <c r="C31" s="9"/>
      <c r="D31" s="9"/>
      <c r="E31" s="9"/>
    </row>
    <row r="32" spans="1:5" ht="15" x14ac:dyDescent="0.25">
      <c r="A32" s="10" t="s">
        <v>19</v>
      </c>
      <c r="B32" s="9"/>
      <c r="C32" s="9" t="s">
        <v>35</v>
      </c>
      <c r="D32" s="9" t="s">
        <v>20</v>
      </c>
      <c r="E32" s="13">
        <v>20</v>
      </c>
    </row>
    <row r="33" spans="1:5" x14ac:dyDescent="0.2">
      <c r="A33" s="9"/>
      <c r="B33" s="9"/>
      <c r="C33" s="40">
        <v>3.5</v>
      </c>
      <c r="D33" s="9"/>
      <c r="E33" s="12">
        <f>E32*C33</f>
        <v>70</v>
      </c>
    </row>
    <row r="34" spans="1:5" x14ac:dyDescent="0.2">
      <c r="A34" s="9"/>
      <c r="B34" s="9"/>
      <c r="C34" s="9"/>
      <c r="D34" s="9"/>
      <c r="E34" s="13"/>
    </row>
    <row r="35" spans="1:5" ht="15" x14ac:dyDescent="0.25">
      <c r="A35" s="10" t="s">
        <v>21</v>
      </c>
      <c r="B35" s="9"/>
      <c r="C35" s="9" t="s">
        <v>22</v>
      </c>
      <c r="D35" s="9" t="s">
        <v>23</v>
      </c>
      <c r="E35" s="13">
        <v>25</v>
      </c>
    </row>
    <row r="36" spans="1:5" x14ac:dyDescent="0.2">
      <c r="A36" s="9"/>
      <c r="B36" s="9"/>
      <c r="C36" s="40">
        <v>0.22</v>
      </c>
      <c r="D36" s="9"/>
      <c r="E36" s="12">
        <f>E35*C36</f>
        <v>5.5</v>
      </c>
    </row>
    <row r="37" spans="1:5" x14ac:dyDescent="0.2">
      <c r="A37" s="9"/>
      <c r="B37" s="9"/>
      <c r="C37" s="9"/>
      <c r="D37" s="9"/>
      <c r="E37" s="13"/>
    </row>
    <row r="38" spans="1:5" ht="15" x14ac:dyDescent="0.25">
      <c r="A38" s="10" t="s">
        <v>24</v>
      </c>
      <c r="B38" s="9" t="s">
        <v>3</v>
      </c>
      <c r="C38" s="38">
        <v>1</v>
      </c>
      <c r="D38" s="45" t="s">
        <v>120</v>
      </c>
      <c r="E38" s="13">
        <f>E7*C38/1000</f>
        <v>5</v>
      </c>
    </row>
    <row r="39" spans="1:5" x14ac:dyDescent="0.2">
      <c r="A39" s="9"/>
      <c r="B39" s="9" t="s">
        <v>25</v>
      </c>
      <c r="C39" s="38">
        <v>0.7</v>
      </c>
      <c r="D39" s="45" t="s">
        <v>120</v>
      </c>
      <c r="E39" s="13"/>
    </row>
    <row r="40" spans="1:5" x14ac:dyDescent="0.2">
      <c r="A40" s="9"/>
      <c r="B40" s="9"/>
      <c r="C40" s="40">
        <v>30</v>
      </c>
      <c r="D40" s="9"/>
      <c r="E40" s="12">
        <f>E38*C40</f>
        <v>150</v>
      </c>
    </row>
    <row r="41" spans="1:5" x14ac:dyDescent="0.2">
      <c r="A41" s="9"/>
      <c r="B41" s="9"/>
      <c r="C41" s="9"/>
      <c r="D41" s="9"/>
      <c r="E41" s="13"/>
    </row>
    <row r="42" spans="1:5" ht="15" x14ac:dyDescent="0.25">
      <c r="A42" s="10" t="s">
        <v>27</v>
      </c>
      <c r="B42" s="9"/>
      <c r="C42" s="39">
        <v>0.05</v>
      </c>
      <c r="D42" s="9" t="s">
        <v>28</v>
      </c>
      <c r="E42" s="11">
        <f>(E9+E12)*C42</f>
        <v>750</v>
      </c>
    </row>
    <row r="43" spans="1:5" x14ac:dyDescent="0.2">
      <c r="A43" s="9"/>
      <c r="B43" s="9"/>
      <c r="C43" s="9"/>
      <c r="D43" s="9"/>
      <c r="E43" s="13"/>
    </row>
    <row r="44" spans="1:5" ht="15" x14ac:dyDescent="0.25">
      <c r="A44" s="10" t="s">
        <v>33</v>
      </c>
      <c r="B44" s="9" t="s">
        <v>3</v>
      </c>
      <c r="C44" s="38">
        <v>6.5</v>
      </c>
      <c r="D44" s="45" t="s">
        <v>120</v>
      </c>
      <c r="E44" s="13">
        <f>C44*E7/1000</f>
        <v>32.5</v>
      </c>
    </row>
    <row r="45" spans="1:5" x14ac:dyDescent="0.2">
      <c r="A45" s="9" t="s">
        <v>29</v>
      </c>
      <c r="B45" s="9" t="s">
        <v>25</v>
      </c>
      <c r="C45" s="38">
        <v>2.5</v>
      </c>
      <c r="D45" s="45" t="s">
        <v>121</v>
      </c>
      <c r="E45" s="13"/>
    </row>
    <row r="46" spans="1:5" x14ac:dyDescent="0.2">
      <c r="A46" s="9"/>
      <c r="B46" s="9"/>
      <c r="C46" s="40">
        <v>30</v>
      </c>
      <c r="D46" s="9"/>
      <c r="E46" s="12">
        <f>E44*C46</f>
        <v>975</v>
      </c>
    </row>
    <row r="47" spans="1:5" x14ac:dyDescent="0.2">
      <c r="A47" s="9"/>
      <c r="B47" s="9"/>
      <c r="C47" s="9"/>
      <c r="D47" s="9"/>
      <c r="E47" s="13"/>
    </row>
    <row r="48" spans="1:5" s="5" customFormat="1" ht="15" x14ac:dyDescent="0.25">
      <c r="A48" s="16" t="s">
        <v>30</v>
      </c>
      <c r="B48" s="10"/>
      <c r="C48" s="10"/>
      <c r="D48" s="10"/>
      <c r="E48" s="17">
        <f>E46+E42+E40+E36+E33</f>
        <v>1950.5</v>
      </c>
    </row>
    <row r="49" spans="1:5" x14ac:dyDescent="0.2">
      <c r="A49" s="9" t="s">
        <v>31</v>
      </c>
      <c r="B49" s="9"/>
      <c r="C49" s="9"/>
      <c r="D49" s="9"/>
      <c r="E49" s="12">
        <f>E48/E7</f>
        <v>0.3901</v>
      </c>
    </row>
    <row r="50" spans="1:5" ht="13.5" thickBot="1" x14ac:dyDescent="0.25">
      <c r="A50" s="9"/>
      <c r="B50" s="9"/>
      <c r="C50" s="9"/>
      <c r="D50" s="9"/>
      <c r="E50" s="18"/>
    </row>
    <row r="51" spans="1:5" s="4" customFormat="1" ht="15.75" thickBot="1" x14ac:dyDescent="0.3">
      <c r="A51" s="20" t="s">
        <v>34</v>
      </c>
      <c r="B51" s="21"/>
      <c r="C51" s="21"/>
      <c r="D51" s="21"/>
      <c r="E51" s="22">
        <f>E27+E48</f>
        <v>3845.5</v>
      </c>
    </row>
    <row r="52" spans="1:5" s="1" customFormat="1" x14ac:dyDescent="0.2">
      <c r="A52" s="24" t="s">
        <v>32</v>
      </c>
      <c r="B52" s="24"/>
      <c r="C52" s="24"/>
      <c r="D52" s="24"/>
      <c r="E52" s="25">
        <f>E51/E7</f>
        <v>0.76910000000000001</v>
      </c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56" t="s">
        <v>1</v>
      </c>
    </row>
    <row r="55" spans="1:5" ht="23.25" x14ac:dyDescent="0.35">
      <c r="A55" s="35" t="s">
        <v>36</v>
      </c>
      <c r="B55" s="9"/>
      <c r="C55" s="39">
        <v>0.95</v>
      </c>
      <c r="D55" s="9"/>
      <c r="E55" s="26">
        <f>E7*$C$55</f>
        <v>4750</v>
      </c>
    </row>
    <row r="56" spans="1:5" ht="15" x14ac:dyDescent="0.25">
      <c r="A56" s="10" t="s">
        <v>2</v>
      </c>
      <c r="B56" s="9"/>
      <c r="C56" s="9"/>
      <c r="D56" s="9"/>
      <c r="E56" s="13"/>
    </row>
    <row r="57" spans="1:5" x14ac:dyDescent="0.2">
      <c r="A57" s="9" t="s">
        <v>37</v>
      </c>
      <c r="B57" s="9"/>
      <c r="C57" s="9"/>
      <c r="D57" s="9"/>
      <c r="E57" s="37">
        <v>2000</v>
      </c>
    </row>
    <row r="58" spans="1:5" x14ac:dyDescent="0.2">
      <c r="A58" s="45" t="s">
        <v>84</v>
      </c>
      <c r="B58" s="9"/>
      <c r="C58" s="9"/>
      <c r="D58" s="9"/>
      <c r="E58" s="13"/>
    </row>
    <row r="59" spans="1:5" x14ac:dyDescent="0.2">
      <c r="A59" s="45" t="s">
        <v>85</v>
      </c>
      <c r="B59" s="9"/>
      <c r="C59" s="9"/>
      <c r="D59" s="9"/>
      <c r="E59" s="13"/>
    </row>
    <row r="60" spans="1:5" x14ac:dyDescent="0.2">
      <c r="A60" s="45" t="s">
        <v>86</v>
      </c>
      <c r="B60" s="9"/>
      <c r="C60" s="9"/>
      <c r="D60" s="9"/>
      <c r="E60" s="11"/>
    </row>
    <row r="61" spans="1:5" x14ac:dyDescent="0.2">
      <c r="A61" s="45" t="s">
        <v>87</v>
      </c>
      <c r="B61" s="9"/>
      <c r="C61" s="9"/>
      <c r="D61" s="9"/>
      <c r="E61" s="11"/>
    </row>
    <row r="62" spans="1:5" x14ac:dyDescent="0.2">
      <c r="A62" s="9" t="s">
        <v>38</v>
      </c>
      <c r="B62" s="9"/>
      <c r="C62" s="9"/>
      <c r="D62" s="9"/>
      <c r="E62" s="37">
        <v>200</v>
      </c>
    </row>
    <row r="63" spans="1:5" x14ac:dyDescent="0.2">
      <c r="A63" s="9"/>
      <c r="B63" s="9"/>
      <c r="C63" s="9"/>
      <c r="D63" s="9"/>
      <c r="E63" s="9"/>
    </row>
    <row r="64" spans="1:5" ht="15.75" x14ac:dyDescent="0.25">
      <c r="A64" s="8" t="s">
        <v>7</v>
      </c>
      <c r="B64" s="9"/>
      <c r="C64" s="9"/>
      <c r="D64" s="9"/>
      <c r="E64" s="9"/>
    </row>
    <row r="65" spans="1:5" ht="15" x14ac:dyDescent="0.25">
      <c r="A65" s="10" t="s">
        <v>8</v>
      </c>
      <c r="B65" s="9"/>
      <c r="C65" s="9"/>
      <c r="D65" s="9"/>
      <c r="E65" s="9"/>
    </row>
    <row r="66" spans="1:5" x14ac:dyDescent="0.2">
      <c r="A66" s="9" t="s">
        <v>76</v>
      </c>
      <c r="B66" s="9"/>
      <c r="C66" s="38">
        <v>15</v>
      </c>
      <c r="D66" s="9" t="s">
        <v>11</v>
      </c>
      <c r="E66" s="11">
        <f>E57/$C$66</f>
        <v>133.33333333333334</v>
      </c>
    </row>
    <row r="67" spans="1:5" x14ac:dyDescent="0.2">
      <c r="A67" s="9" t="s">
        <v>10</v>
      </c>
      <c r="B67" s="9"/>
      <c r="C67" s="38">
        <v>8</v>
      </c>
      <c r="D67" s="9" t="s">
        <v>11</v>
      </c>
      <c r="E67" s="12">
        <f>E62/$C$67</f>
        <v>25</v>
      </c>
    </row>
    <row r="68" spans="1:5" x14ac:dyDescent="0.2">
      <c r="A68" s="9"/>
      <c r="B68" s="9"/>
      <c r="C68" s="9"/>
      <c r="D68" s="9"/>
      <c r="E68" s="13"/>
    </row>
    <row r="69" spans="1:5" ht="15" x14ac:dyDescent="0.25">
      <c r="A69" s="10" t="s">
        <v>12</v>
      </c>
      <c r="B69" s="9"/>
      <c r="C69" s="9"/>
      <c r="D69" s="9"/>
      <c r="E69" s="13"/>
    </row>
    <row r="70" spans="1:5" x14ac:dyDescent="0.2">
      <c r="A70" s="14">
        <v>0.6</v>
      </c>
      <c r="B70" s="9" t="s">
        <v>13</v>
      </c>
      <c r="C70" s="9"/>
      <c r="D70" s="39">
        <v>0.03</v>
      </c>
      <c r="E70" s="12">
        <f>0.6*(E57+E62)*$D$70</f>
        <v>39.6</v>
      </c>
    </row>
    <row r="71" spans="1:5" x14ac:dyDescent="0.2">
      <c r="A71" s="9"/>
      <c r="B71" s="9"/>
      <c r="C71" s="9"/>
      <c r="D71" s="9"/>
      <c r="E71" s="13"/>
    </row>
    <row r="72" spans="1:5" ht="15" x14ac:dyDescent="0.25">
      <c r="A72" s="10" t="s">
        <v>14</v>
      </c>
      <c r="B72" s="9"/>
      <c r="C72" s="9"/>
      <c r="D72" s="9" t="s">
        <v>20</v>
      </c>
      <c r="E72" s="13">
        <v>0</v>
      </c>
    </row>
    <row r="73" spans="1:5" x14ac:dyDescent="0.2">
      <c r="A73" s="40">
        <v>30</v>
      </c>
      <c r="B73" s="9" t="s">
        <v>15</v>
      </c>
      <c r="C73" s="9"/>
      <c r="D73" s="9"/>
      <c r="E73" s="11">
        <f>E72*A73</f>
        <v>0</v>
      </c>
    </row>
    <row r="74" spans="1:5" x14ac:dyDescent="0.2">
      <c r="A74" s="9"/>
      <c r="B74" s="9"/>
      <c r="C74" s="9"/>
      <c r="D74" s="9"/>
      <c r="E74" s="13"/>
    </row>
    <row r="75" spans="1:5" ht="15" x14ac:dyDescent="0.25">
      <c r="A75" s="16" t="s">
        <v>57</v>
      </c>
      <c r="B75" s="10"/>
      <c r="C75" s="10"/>
      <c r="D75" s="10"/>
      <c r="E75" s="17">
        <f>E66+E67+E70+E73</f>
        <v>197.93333333333334</v>
      </c>
    </row>
    <row r="76" spans="1:5" x14ac:dyDescent="0.2">
      <c r="A76" s="9" t="s">
        <v>77</v>
      </c>
      <c r="B76" s="9"/>
      <c r="C76" s="9"/>
      <c r="D76" s="9"/>
      <c r="E76" s="12">
        <f>E75/E55</f>
        <v>4.1670175438596489E-2</v>
      </c>
    </row>
    <row r="77" spans="1:5" x14ac:dyDescent="0.2">
      <c r="A77" s="9"/>
      <c r="B77" s="9"/>
      <c r="C77" s="9"/>
      <c r="D77" s="9"/>
      <c r="E77" s="9"/>
    </row>
    <row r="78" spans="1:5" ht="15.75" x14ac:dyDescent="0.25">
      <c r="A78" s="8" t="s">
        <v>18</v>
      </c>
      <c r="B78" s="9"/>
      <c r="C78" s="9"/>
      <c r="D78" s="9"/>
      <c r="E78" s="9"/>
    </row>
    <row r="79" spans="1:5" ht="15" x14ac:dyDescent="0.25">
      <c r="A79" s="10" t="s">
        <v>21</v>
      </c>
      <c r="B79" s="9">
        <v>10</v>
      </c>
      <c r="C79" s="9" t="s">
        <v>39</v>
      </c>
      <c r="D79" s="9" t="s">
        <v>23</v>
      </c>
      <c r="E79" s="13">
        <f>E55/100*$B$79</f>
        <v>475</v>
      </c>
    </row>
    <row r="80" spans="1:5" x14ac:dyDescent="0.2">
      <c r="A80" s="9"/>
      <c r="B80" s="9" t="s">
        <v>40</v>
      </c>
      <c r="C80" s="40">
        <v>0.24</v>
      </c>
      <c r="D80" s="9"/>
      <c r="E80" s="12">
        <f>E79*C80</f>
        <v>114</v>
      </c>
    </row>
    <row r="81" spans="1:5" x14ac:dyDescent="0.2">
      <c r="A81" s="9" t="s">
        <v>48</v>
      </c>
      <c r="B81" s="9"/>
      <c r="C81" s="40">
        <v>0.9</v>
      </c>
      <c r="D81" s="9" t="s">
        <v>49</v>
      </c>
      <c r="E81" s="13"/>
    </row>
    <row r="82" spans="1:5" x14ac:dyDescent="0.2">
      <c r="A82" s="9"/>
      <c r="B82" s="9"/>
      <c r="C82" s="15"/>
      <c r="D82" s="9"/>
      <c r="E82" s="13"/>
    </row>
    <row r="83" spans="1:5" ht="15" x14ac:dyDescent="0.25">
      <c r="A83" s="10" t="s">
        <v>24</v>
      </c>
      <c r="B83" s="9" t="s">
        <v>41</v>
      </c>
      <c r="C83" s="38">
        <v>0.5</v>
      </c>
      <c r="D83" s="9" t="s">
        <v>26</v>
      </c>
      <c r="E83" s="13">
        <f>E55/1000*$C$83</f>
        <v>2.375</v>
      </c>
    </row>
    <row r="84" spans="1:5" x14ac:dyDescent="0.2">
      <c r="A84" s="9"/>
      <c r="B84" s="9" t="s">
        <v>42</v>
      </c>
      <c r="C84" s="38">
        <v>0.3</v>
      </c>
      <c r="D84" s="9" t="s">
        <v>26</v>
      </c>
      <c r="E84" s="13"/>
    </row>
    <row r="85" spans="1:5" x14ac:dyDescent="0.2">
      <c r="A85" s="9"/>
      <c r="B85" s="9"/>
      <c r="C85" s="40">
        <v>30</v>
      </c>
      <c r="D85" s="9"/>
      <c r="E85" s="12">
        <f>E55/1000*$C$83*$C$85</f>
        <v>71.25</v>
      </c>
    </row>
    <row r="86" spans="1:5" x14ac:dyDescent="0.2">
      <c r="A86" s="9"/>
      <c r="B86" s="9"/>
      <c r="C86" s="9"/>
      <c r="D86" s="9"/>
      <c r="E86" s="13"/>
    </row>
    <row r="87" spans="1:5" ht="15" x14ac:dyDescent="0.25">
      <c r="A87" s="10" t="s">
        <v>27</v>
      </c>
      <c r="B87" s="9"/>
      <c r="C87" s="39">
        <v>0.05</v>
      </c>
      <c r="D87" s="9" t="s">
        <v>28</v>
      </c>
      <c r="E87" s="11">
        <f>(E57+E62)*$C$87</f>
        <v>110</v>
      </c>
    </row>
    <row r="88" spans="1:5" x14ac:dyDescent="0.2">
      <c r="A88" s="9"/>
      <c r="B88" s="9"/>
      <c r="C88" s="38"/>
      <c r="D88" s="9"/>
      <c r="E88" s="13"/>
    </row>
    <row r="89" spans="1:5" ht="15" x14ac:dyDescent="0.25">
      <c r="A89" s="10" t="s">
        <v>33</v>
      </c>
      <c r="B89" s="9" t="s">
        <v>44</v>
      </c>
      <c r="C89" s="9" t="s">
        <v>50</v>
      </c>
      <c r="D89" s="9"/>
      <c r="E89" s="13"/>
    </row>
    <row r="90" spans="1:5" x14ac:dyDescent="0.2">
      <c r="A90" s="9" t="s">
        <v>43</v>
      </c>
      <c r="B90" s="38">
        <v>200</v>
      </c>
      <c r="C90" s="38">
        <v>1</v>
      </c>
      <c r="D90" s="9" t="s">
        <v>52</v>
      </c>
      <c r="E90" s="13">
        <f>E55/$B90*$C90</f>
        <v>23.75</v>
      </c>
    </row>
    <row r="91" spans="1:5" x14ac:dyDescent="0.2">
      <c r="A91" s="9" t="s">
        <v>45</v>
      </c>
      <c r="B91" s="38">
        <v>190</v>
      </c>
      <c r="C91" s="38">
        <v>1</v>
      </c>
      <c r="D91" s="9" t="s">
        <v>52</v>
      </c>
      <c r="E91" s="13"/>
    </row>
    <row r="92" spans="1:5" x14ac:dyDescent="0.2">
      <c r="A92" s="9" t="s">
        <v>46</v>
      </c>
      <c r="B92" s="38">
        <v>300</v>
      </c>
      <c r="C92" s="38">
        <v>1.25</v>
      </c>
      <c r="D92" s="9" t="s">
        <v>52</v>
      </c>
      <c r="E92" s="13"/>
    </row>
    <row r="93" spans="1:5" x14ac:dyDescent="0.2">
      <c r="A93" s="9" t="s">
        <v>47</v>
      </c>
      <c r="B93" s="38">
        <v>450</v>
      </c>
      <c r="C93" s="38">
        <v>1.5</v>
      </c>
      <c r="D93" s="9" t="s">
        <v>52</v>
      </c>
      <c r="E93" s="13"/>
    </row>
    <row r="94" spans="1:5" x14ac:dyDescent="0.2">
      <c r="A94" s="9" t="s">
        <v>51</v>
      </c>
      <c r="B94" s="38">
        <v>550</v>
      </c>
      <c r="C94" s="38">
        <v>1.5</v>
      </c>
      <c r="D94" s="9" t="s">
        <v>52</v>
      </c>
      <c r="E94" s="13"/>
    </row>
    <row r="95" spans="1:5" x14ac:dyDescent="0.2">
      <c r="A95" s="9"/>
      <c r="B95" s="9"/>
      <c r="C95" s="40">
        <v>30</v>
      </c>
      <c r="D95" s="9"/>
      <c r="E95" s="12">
        <f>E90*$C$95</f>
        <v>712.5</v>
      </c>
    </row>
    <row r="96" spans="1:5" x14ac:dyDescent="0.2">
      <c r="A96" s="9" t="s">
        <v>53</v>
      </c>
      <c r="B96" s="38">
        <v>0.6</v>
      </c>
      <c r="C96" s="15" t="s">
        <v>52</v>
      </c>
      <c r="D96" s="9" t="s">
        <v>54</v>
      </c>
      <c r="E96" s="12"/>
    </row>
    <row r="97" spans="1:5" x14ac:dyDescent="0.2">
      <c r="A97" s="9"/>
      <c r="B97" s="9"/>
      <c r="C97" s="40">
        <v>30</v>
      </c>
      <c r="D97" s="9"/>
      <c r="E97" s="12">
        <f>E55/1000*$B$96*$C$97</f>
        <v>85.5</v>
      </c>
    </row>
    <row r="98" spans="1:5" x14ac:dyDescent="0.2">
      <c r="A98" s="9"/>
      <c r="B98" s="9"/>
      <c r="C98" s="9"/>
      <c r="D98" s="9"/>
      <c r="E98" s="13"/>
    </row>
    <row r="99" spans="1:5" ht="15" x14ac:dyDescent="0.25">
      <c r="A99" s="16" t="s">
        <v>74</v>
      </c>
      <c r="B99" s="10"/>
      <c r="C99" s="10"/>
      <c r="D99" s="10"/>
      <c r="E99" s="17">
        <f>E97+E95+E87+E85+E80</f>
        <v>1093.25</v>
      </c>
    </row>
    <row r="100" spans="1:5" x14ac:dyDescent="0.2">
      <c r="A100" s="9" t="s">
        <v>75</v>
      </c>
      <c r="B100" s="9"/>
      <c r="C100" s="9"/>
      <c r="D100" s="9"/>
      <c r="E100" s="12">
        <f>E99/E55</f>
        <v>0.23015789473684212</v>
      </c>
    </row>
    <row r="101" spans="1:5" ht="13.5" thickBot="1" x14ac:dyDescent="0.25">
      <c r="A101" s="9"/>
      <c r="B101" s="9"/>
      <c r="C101" s="9"/>
      <c r="D101" s="9"/>
      <c r="E101" s="28"/>
    </row>
    <row r="102" spans="1:5" ht="15.75" thickBot="1" x14ac:dyDescent="0.3">
      <c r="A102" s="20" t="s">
        <v>55</v>
      </c>
      <c r="B102" s="21"/>
      <c r="C102" s="21"/>
      <c r="D102" s="21"/>
      <c r="E102" s="22">
        <f>E75+E99</f>
        <v>1291.1833333333334</v>
      </c>
    </row>
    <row r="103" spans="1:5" x14ac:dyDescent="0.2">
      <c r="A103" s="24" t="s">
        <v>56</v>
      </c>
      <c r="B103" s="24"/>
      <c r="C103" s="24"/>
      <c r="D103" s="24"/>
      <c r="E103" s="25">
        <f>E102/E55</f>
        <v>0.27182807017543859</v>
      </c>
    </row>
    <row r="104" spans="1:5" ht="13.5" thickBot="1" x14ac:dyDescent="0.25">
      <c r="A104" s="9"/>
      <c r="B104" s="9"/>
      <c r="C104" s="9"/>
      <c r="D104" s="9"/>
      <c r="E104" s="9"/>
    </row>
    <row r="105" spans="1:5" ht="24" thickBot="1" x14ac:dyDescent="0.4">
      <c r="A105" s="36" t="s">
        <v>58</v>
      </c>
      <c r="B105" s="29"/>
      <c r="C105" s="29"/>
      <c r="D105" s="9"/>
      <c r="E105" s="9"/>
    </row>
    <row r="106" spans="1:5" x14ac:dyDescent="0.2">
      <c r="A106" s="9"/>
      <c r="B106" s="9"/>
      <c r="C106" s="9"/>
      <c r="D106" s="9"/>
      <c r="E106" s="9"/>
    </row>
    <row r="107" spans="1:5" ht="15" x14ac:dyDescent="0.25">
      <c r="A107" s="10" t="s">
        <v>59</v>
      </c>
      <c r="B107" s="9"/>
      <c r="C107" s="9" t="s">
        <v>60</v>
      </c>
      <c r="D107" s="40">
        <v>33</v>
      </c>
      <c r="E107" s="30">
        <f>E7/$B$108*$D$107</f>
        <v>2357.1428571428573</v>
      </c>
    </row>
    <row r="108" spans="1:5" x14ac:dyDescent="0.2">
      <c r="A108" s="9" t="s">
        <v>61</v>
      </c>
      <c r="B108" s="38">
        <v>70</v>
      </c>
      <c r="C108" s="9"/>
      <c r="D108" s="9" t="s">
        <v>62</v>
      </c>
      <c r="E108" s="27">
        <f>E107/E7</f>
        <v>0.47142857142857147</v>
      </c>
    </row>
    <row r="109" spans="1:5" x14ac:dyDescent="0.2">
      <c r="A109" s="9"/>
      <c r="B109" s="9"/>
      <c r="C109" s="9"/>
      <c r="D109" s="9"/>
      <c r="E109" s="13"/>
    </row>
    <row r="110" spans="1:5" s="4" customFormat="1" ht="15" x14ac:dyDescent="0.25">
      <c r="A110" s="31" t="s">
        <v>63</v>
      </c>
      <c r="B110" s="31"/>
      <c r="C110" s="31"/>
      <c r="D110" s="31"/>
      <c r="E110" s="17">
        <f>E51</f>
        <v>3845.5</v>
      </c>
    </row>
    <row r="111" spans="1:5" x14ac:dyDescent="0.2">
      <c r="A111" s="9"/>
      <c r="B111" s="9"/>
      <c r="C111" s="9"/>
      <c r="D111" s="9" t="s">
        <v>62</v>
      </c>
      <c r="E111" s="27">
        <f>E52</f>
        <v>0.76910000000000001</v>
      </c>
    </row>
    <row r="112" spans="1:5" x14ac:dyDescent="0.2">
      <c r="A112" s="9"/>
      <c r="B112" s="9"/>
      <c r="C112" s="9"/>
      <c r="D112" s="9"/>
      <c r="E112" s="13"/>
    </row>
    <row r="113" spans="1:5" ht="15" x14ac:dyDescent="0.25">
      <c r="A113" s="10" t="s">
        <v>64</v>
      </c>
      <c r="B113" s="9"/>
      <c r="C113" s="40">
        <v>0.1</v>
      </c>
      <c r="D113" s="9" t="s">
        <v>65</v>
      </c>
      <c r="E113" s="17">
        <f>E7*$C$113</f>
        <v>500</v>
      </c>
    </row>
    <row r="114" spans="1:5" x14ac:dyDescent="0.2">
      <c r="A114" s="9"/>
      <c r="B114" s="9"/>
      <c r="C114" s="9"/>
      <c r="D114" s="9"/>
      <c r="E114" s="11">
        <v>0.1</v>
      </c>
    </row>
    <row r="115" spans="1:5" x14ac:dyDescent="0.2">
      <c r="A115" s="9"/>
      <c r="B115" s="9"/>
      <c r="C115" s="9"/>
      <c r="D115" s="9"/>
      <c r="E115" s="11"/>
    </row>
    <row r="116" spans="1:5" ht="15" x14ac:dyDescent="0.25">
      <c r="A116" s="10" t="s">
        <v>66</v>
      </c>
      <c r="B116" s="9"/>
      <c r="C116" s="9"/>
      <c r="D116" s="9"/>
      <c r="E116" s="30">
        <f>E102</f>
        <v>1291.1833333333334</v>
      </c>
    </row>
    <row r="117" spans="1:5" x14ac:dyDescent="0.2">
      <c r="A117" s="9" t="s">
        <v>78</v>
      </c>
      <c r="B117" s="9"/>
      <c r="C117" s="9"/>
      <c r="D117" s="9" t="s">
        <v>62</v>
      </c>
      <c r="E117" s="11">
        <f>E103</f>
        <v>0.27182807017543859</v>
      </c>
    </row>
    <row r="118" spans="1:5" x14ac:dyDescent="0.2">
      <c r="A118" s="9"/>
      <c r="B118" s="9"/>
      <c r="C118" s="9"/>
      <c r="D118" s="9"/>
      <c r="E118" s="13"/>
    </row>
    <row r="119" spans="1:5" ht="15" x14ac:dyDescent="0.25">
      <c r="A119" s="10" t="s">
        <v>67</v>
      </c>
      <c r="B119" s="9"/>
      <c r="C119" s="9" t="s">
        <v>68</v>
      </c>
      <c r="D119" s="40">
        <v>3</v>
      </c>
      <c r="E119" s="17">
        <f>E55/10*$D$119</f>
        <v>1425</v>
      </c>
    </row>
    <row r="120" spans="1:5" x14ac:dyDescent="0.2">
      <c r="A120" s="9"/>
      <c r="B120" s="9"/>
      <c r="C120" s="9"/>
      <c r="D120" s="9" t="s">
        <v>62</v>
      </c>
      <c r="E120" s="12">
        <f>$D$119/10</f>
        <v>0.3</v>
      </c>
    </row>
    <row r="121" spans="1:5" x14ac:dyDescent="0.2">
      <c r="A121" s="9"/>
      <c r="B121" s="9"/>
      <c r="C121" s="9"/>
      <c r="D121" s="9"/>
      <c r="E121" s="13"/>
    </row>
    <row r="122" spans="1:5" ht="15" x14ac:dyDescent="0.25">
      <c r="A122" s="10" t="s">
        <v>69</v>
      </c>
      <c r="B122" s="9"/>
      <c r="C122" s="9"/>
      <c r="D122" s="43">
        <v>0.05</v>
      </c>
      <c r="E122" s="17">
        <f>(E107+E110+E113+E116+E119)*$D$122</f>
        <v>470.94130952380948</v>
      </c>
    </row>
    <row r="123" spans="1:5" x14ac:dyDescent="0.2">
      <c r="A123" s="9" t="s">
        <v>70</v>
      </c>
      <c r="B123" s="9"/>
      <c r="C123" s="9"/>
      <c r="D123" s="9"/>
      <c r="E123" s="12">
        <f>E122/E7</f>
        <v>9.41882619047619E-2</v>
      </c>
    </row>
    <row r="124" spans="1:5" ht="13.5" thickBot="1" x14ac:dyDescent="0.25">
      <c r="A124" s="9"/>
      <c r="B124" s="9"/>
      <c r="C124" s="9"/>
      <c r="D124" s="9"/>
      <c r="E124" s="42"/>
    </row>
    <row r="125" spans="1:5" ht="15" x14ac:dyDescent="0.25">
      <c r="A125" s="10" t="s">
        <v>71</v>
      </c>
      <c r="B125" s="9"/>
      <c r="C125" s="9"/>
      <c r="D125" s="9" t="s">
        <v>72</v>
      </c>
      <c r="E125" s="50">
        <f>E122+E119+E116+E113+E110+E107</f>
        <v>9889.7674999999999</v>
      </c>
    </row>
    <row r="126" spans="1:5" ht="13.5" thickBot="1" x14ac:dyDescent="0.25">
      <c r="A126" s="9"/>
      <c r="B126" s="9"/>
      <c r="C126" s="9"/>
      <c r="D126" s="9" t="s">
        <v>62</v>
      </c>
      <c r="E126" s="53">
        <f>E125/E7</f>
        <v>1.9779534999999999</v>
      </c>
    </row>
    <row r="127" spans="1:5" x14ac:dyDescent="0.2">
      <c r="A127" s="9"/>
      <c r="B127" s="24" t="s">
        <v>73</v>
      </c>
      <c r="C127" s="9"/>
      <c r="D127" s="9" t="s">
        <v>72</v>
      </c>
      <c r="E127" s="32">
        <f>E46+E97+(0.25*E113)+(5*E122)</f>
        <v>3540.2065476190473</v>
      </c>
    </row>
    <row r="128" spans="1:5" x14ac:dyDescent="0.2">
      <c r="A128" s="9"/>
      <c r="B128" s="9"/>
      <c r="C128" s="9"/>
      <c r="D128" s="9" t="s">
        <v>62</v>
      </c>
      <c r="E128" s="33">
        <f>E127/E7</f>
        <v>0.7080413095238095</v>
      </c>
    </row>
    <row r="129" spans="1:5" x14ac:dyDescent="0.2">
      <c r="A129" s="9"/>
      <c r="B129" s="9"/>
      <c r="C129" s="9"/>
      <c r="D129" s="9"/>
      <c r="E129" s="33"/>
    </row>
    <row r="130" spans="1:5" x14ac:dyDescent="0.2">
      <c r="A130" s="24" t="s">
        <v>79</v>
      </c>
      <c r="B130" s="9"/>
      <c r="C130" s="9"/>
      <c r="D130" s="43">
        <v>0.35</v>
      </c>
      <c r="E130" s="49">
        <f>(E107+E110+E113+E116+E119+E122)*$D$130</f>
        <v>3461.4186249999993</v>
      </c>
    </row>
    <row r="131" spans="1:5" x14ac:dyDescent="0.2">
      <c r="A131" s="46" t="s">
        <v>80</v>
      </c>
      <c r="B131" s="9"/>
      <c r="C131" s="9"/>
      <c r="D131" s="44"/>
      <c r="E131" s="42">
        <f>E130/E7</f>
        <v>0.69228372499999991</v>
      </c>
    </row>
    <row r="132" spans="1:5" ht="13.5" thickBot="1" x14ac:dyDescent="0.25">
      <c r="A132" s="46"/>
      <c r="B132" s="9"/>
      <c r="C132" s="9"/>
      <c r="D132" s="44"/>
      <c r="E132" s="42"/>
    </row>
    <row r="133" spans="1:5" ht="15" x14ac:dyDescent="0.25">
      <c r="A133" s="10" t="s">
        <v>81</v>
      </c>
      <c r="B133" s="9"/>
      <c r="C133" s="9"/>
      <c r="D133" s="47" t="s">
        <v>72</v>
      </c>
      <c r="E133" s="50">
        <f>E125+E130</f>
        <v>13351.186125</v>
      </c>
    </row>
    <row r="134" spans="1:5" ht="13.5" thickBot="1" x14ac:dyDescent="0.25">
      <c r="A134" s="9"/>
      <c r="B134" s="9"/>
      <c r="C134" s="9"/>
      <c r="D134" s="47" t="s">
        <v>62</v>
      </c>
      <c r="E134" s="53">
        <f>E133/E7</f>
        <v>2.6702372250000002</v>
      </c>
    </row>
    <row r="135" spans="1:5" x14ac:dyDescent="0.2">
      <c r="A135" s="34" t="s">
        <v>82</v>
      </c>
      <c r="B135" s="9"/>
      <c r="C135" s="9"/>
      <c r="D135" s="9"/>
      <c r="E135" s="9"/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71" sqref="J71"/>
    </sheetView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71" sqref="J71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9"/>
  <sheetViews>
    <sheetView workbookViewId="0">
      <selection activeCell="J71" sqref="J71"/>
    </sheetView>
  </sheetViews>
  <sheetFormatPr baseColWidth="10" defaultRowHeight="12.7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8" spans="1:1" x14ac:dyDescent="0.2">
      <c r="A8" t="s">
        <v>102</v>
      </c>
    </row>
    <row r="9" spans="1:1" x14ac:dyDescent="0.2">
      <c r="A9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163"/>
  <sheetViews>
    <sheetView topLeftCell="H1" zoomScale="55" zoomScaleNormal="55" workbookViewId="0">
      <selection activeCell="L4" sqref="L4"/>
    </sheetView>
  </sheetViews>
  <sheetFormatPr baseColWidth="10" defaultRowHeight="12.75" x14ac:dyDescent="0.2"/>
  <cols>
    <col min="9" max="9" width="95.28515625" bestFit="1" customWidth="1"/>
    <col min="10" max="10" width="12" bestFit="1" customWidth="1"/>
    <col min="11" max="11" width="14.5703125" bestFit="1" customWidth="1"/>
    <col min="12" max="12" width="114.85546875" bestFit="1" customWidth="1"/>
    <col min="15" max="15" width="114.85546875" bestFit="1" customWidth="1"/>
    <col min="24" max="24" width="2" customWidth="1"/>
    <col min="30" max="30" width="4.28515625" customWidth="1"/>
  </cols>
  <sheetData>
    <row r="1" spans="1:35" ht="23.25" x14ac:dyDescent="0.35">
      <c r="A1" s="128" t="s">
        <v>128</v>
      </c>
      <c r="B1" t="s">
        <v>3</v>
      </c>
      <c r="C1" t="str">
        <f t="shared" ref="C1:C8" si="0">IF($I$1=1,A1,B1)</f>
        <v>à paquet</v>
      </c>
      <c r="F1">
        <v>0.05</v>
      </c>
      <c r="H1" s="48" t="s">
        <v>229</v>
      </c>
      <c r="I1" s="128">
        <v>1</v>
      </c>
      <c r="J1" s="128"/>
      <c r="K1" s="128"/>
      <c r="S1" s="138" t="s">
        <v>304</v>
      </c>
      <c r="T1" s="128"/>
      <c r="U1" s="128"/>
      <c r="V1" s="128"/>
      <c r="W1" s="128"/>
      <c r="Y1" s="3" t="s">
        <v>0</v>
      </c>
      <c r="AE1" s="3" t="str">
        <f>IF($I$1=1,S1,Y1)</f>
        <v>Calculateur du coût</v>
      </c>
    </row>
    <row r="2" spans="1:35" x14ac:dyDescent="0.2">
      <c r="A2" s="128" t="s">
        <v>129</v>
      </c>
      <c r="B2" t="s">
        <v>25</v>
      </c>
      <c r="C2" t="str">
        <f t="shared" si="0"/>
        <v>à bande</v>
      </c>
      <c r="F2">
        <v>0.1</v>
      </c>
      <c r="I2" s="128"/>
      <c r="J2" s="128"/>
      <c r="K2" s="128"/>
      <c r="S2" s="128"/>
      <c r="T2" s="128"/>
      <c r="U2" s="128"/>
      <c r="V2" s="128"/>
      <c r="W2" s="128"/>
    </row>
    <row r="3" spans="1:35" ht="15.75" x14ac:dyDescent="0.25">
      <c r="A3" s="128" t="s">
        <v>136</v>
      </c>
      <c r="B3" t="s">
        <v>345</v>
      </c>
      <c r="C3" t="str">
        <f t="shared" si="0"/>
        <v>à panier</v>
      </c>
      <c r="F3">
        <v>0.15</v>
      </c>
      <c r="I3" s="132" t="s">
        <v>351</v>
      </c>
      <c r="J3" s="128"/>
      <c r="K3" s="128" t="s">
        <v>195</v>
      </c>
      <c r="L3" t="s">
        <v>230</v>
      </c>
      <c r="N3" t="s">
        <v>231</v>
      </c>
      <c r="O3" t="str">
        <f>IF($I$1=1,I3,L3)</f>
        <v>Ce calculateur cherche à donner une valeur minimale du travail effectué dans un pressoir artisanal pour le pressage à façon et la vente</v>
      </c>
      <c r="P3" t="str">
        <f t="shared" ref="P3:P18" si="1">IF($I$1=1,K3,N3)</f>
        <v>Par :</v>
      </c>
      <c r="S3" s="139" t="s">
        <v>366</v>
      </c>
      <c r="T3" s="128"/>
      <c r="U3" s="128"/>
      <c r="V3" s="134"/>
      <c r="W3" s="134"/>
      <c r="Y3" s="103" t="s">
        <v>305</v>
      </c>
      <c r="AB3" s="102"/>
      <c r="AC3" s="102"/>
      <c r="AE3" s="103" t="str">
        <f t="shared" ref="AE3:AE62" si="2">IF($I$1=1,S3,Y3)</f>
        <v>Pressage</v>
      </c>
    </row>
    <row r="4" spans="1:35" x14ac:dyDescent="0.2">
      <c r="A4" s="128" t="s">
        <v>130</v>
      </c>
      <c r="B4" t="s">
        <v>346</v>
      </c>
      <c r="C4" t="str">
        <f t="shared" si="0"/>
        <v>autre</v>
      </c>
      <c r="F4">
        <v>0.2</v>
      </c>
      <c r="I4" s="128" t="s">
        <v>228</v>
      </c>
      <c r="J4" s="128"/>
      <c r="K4" s="128">
        <f>J53</f>
        <v>0</v>
      </c>
      <c r="L4" s="102" t="s">
        <v>378</v>
      </c>
      <c r="N4">
        <f>M53</f>
        <v>0</v>
      </c>
      <c r="O4" t="str">
        <f>IF($I$1=1,I4,L4)</f>
        <v xml:space="preserve">Langue : </v>
      </c>
      <c r="P4">
        <f t="shared" si="1"/>
        <v>0</v>
      </c>
      <c r="S4" s="128" t="s">
        <v>153</v>
      </c>
      <c r="T4" s="128"/>
      <c r="U4" s="128"/>
      <c r="V4" s="134" t="s">
        <v>133</v>
      </c>
      <c r="W4" s="134"/>
      <c r="Y4" s="102" t="s">
        <v>306</v>
      </c>
      <c r="AB4" s="102" t="s">
        <v>238</v>
      </c>
      <c r="AC4" s="102"/>
      <c r="AE4" s="102" t="str">
        <f t="shared" si="2"/>
        <v>Presse à façon</v>
      </c>
      <c r="AH4" t="str">
        <f t="shared" ref="AH4:AH63" si="3">IF($I$1=1,V4,AB4)</f>
        <v>litres/année</v>
      </c>
    </row>
    <row r="5" spans="1:35" x14ac:dyDescent="0.2">
      <c r="A5" s="128"/>
      <c r="F5">
        <v>0.25</v>
      </c>
      <c r="I5" s="128"/>
      <c r="J5" s="128"/>
      <c r="K5" s="128"/>
      <c r="N5">
        <f>M57</f>
        <v>0</v>
      </c>
      <c r="O5">
        <f t="shared" ref="O5:O68" si="4">IF($I$1=1,I5,L5)</f>
        <v>0</v>
      </c>
      <c r="P5">
        <f t="shared" si="1"/>
        <v>0</v>
      </c>
      <c r="S5" s="134" t="s">
        <v>155</v>
      </c>
      <c r="T5" s="128"/>
      <c r="U5" s="128"/>
      <c r="V5" s="134" t="s">
        <v>133</v>
      </c>
      <c r="W5" s="134"/>
      <c r="Y5" s="102" t="s">
        <v>307</v>
      </c>
      <c r="AB5" s="102" t="s">
        <v>238</v>
      </c>
      <c r="AC5" s="102"/>
      <c r="AE5" s="102" t="str">
        <f t="shared" si="2"/>
        <v>Presse à profesonnelle</v>
      </c>
      <c r="AH5" t="str">
        <f t="shared" si="3"/>
        <v>litres/année</v>
      </c>
    </row>
    <row r="6" spans="1:35" ht="15.75" x14ac:dyDescent="0.25">
      <c r="A6" s="128"/>
      <c r="F6">
        <v>0.3</v>
      </c>
      <c r="I6" s="132" t="s">
        <v>297</v>
      </c>
      <c r="J6" s="128"/>
      <c r="K6" s="128">
        <f>J57</f>
        <v>0</v>
      </c>
      <c r="L6" t="s">
        <v>232</v>
      </c>
      <c r="N6">
        <f>M6*N5</f>
        <v>0</v>
      </c>
      <c r="O6" t="str">
        <f t="shared" si="4"/>
        <v>Prix de vente conseillé pour le pressage à façon (prestation de service) au litre emballage complet inclus par litre</v>
      </c>
      <c r="P6">
        <f t="shared" si="1"/>
        <v>0</v>
      </c>
      <c r="S6" s="139"/>
      <c r="T6" s="128"/>
      <c r="U6" s="128"/>
      <c r="V6" s="134" t="s">
        <v>133</v>
      </c>
      <c r="W6" s="134" t="s">
        <v>154</v>
      </c>
      <c r="Y6" s="103"/>
      <c r="AB6" s="102" t="s">
        <v>238</v>
      </c>
      <c r="AC6" s="102" t="s">
        <v>154</v>
      </c>
      <c r="AE6" s="103"/>
      <c r="AH6" t="str">
        <f t="shared" si="3"/>
        <v>litres/année</v>
      </c>
      <c r="AI6" t="str">
        <f t="shared" ref="AI6:AI44" si="5">IF($I$1=1,W6,AC6)</f>
        <v>Total</v>
      </c>
    </row>
    <row r="7" spans="1:35" ht="15" x14ac:dyDescent="0.25">
      <c r="A7" s="128" t="s">
        <v>131</v>
      </c>
      <c r="B7" t="s">
        <v>241</v>
      </c>
      <c r="C7" t="str">
        <f t="shared" si="0"/>
        <v>oui</v>
      </c>
      <c r="F7">
        <v>0.35</v>
      </c>
      <c r="I7" s="132" t="s">
        <v>298</v>
      </c>
      <c r="J7" s="128"/>
      <c r="K7" s="128">
        <f>J7*K6</f>
        <v>0</v>
      </c>
      <c r="L7" t="s">
        <v>233</v>
      </c>
      <c r="N7">
        <f>M7*N5</f>
        <v>0</v>
      </c>
      <c r="O7" t="str">
        <f t="shared" si="4"/>
        <v>Prix de vente conseillé pour la vente du produit (commerce de jus) par litre</v>
      </c>
      <c r="P7">
        <f t="shared" si="1"/>
        <v>0</v>
      </c>
      <c r="S7" s="135" t="s">
        <v>2</v>
      </c>
      <c r="T7" s="128"/>
      <c r="U7" s="128"/>
      <c r="V7" s="128"/>
      <c r="W7" s="128"/>
      <c r="Y7" s="4" t="s">
        <v>2</v>
      </c>
      <c r="AE7" s="4" t="str">
        <f t="shared" si="2"/>
        <v>Investitionen</v>
      </c>
    </row>
    <row r="8" spans="1:35" x14ac:dyDescent="0.2">
      <c r="A8" s="128" t="s">
        <v>132</v>
      </c>
      <c r="B8" t="s">
        <v>347</v>
      </c>
      <c r="C8" t="str">
        <f t="shared" si="0"/>
        <v>non</v>
      </c>
      <c r="F8">
        <v>0.4</v>
      </c>
      <c r="I8" s="128"/>
      <c r="J8" s="128"/>
      <c r="K8" s="128">
        <f>J8*K6</f>
        <v>0</v>
      </c>
      <c r="O8">
        <f t="shared" si="4"/>
        <v>0</v>
      </c>
      <c r="P8">
        <f t="shared" si="1"/>
        <v>0</v>
      </c>
      <c r="S8" s="128" t="s">
        <v>137</v>
      </c>
      <c r="T8" s="128">
        <f>Variables!T31</f>
        <v>0</v>
      </c>
      <c r="U8" s="128"/>
      <c r="V8" s="128"/>
      <c r="W8" s="128"/>
      <c r="Y8" s="102" t="s">
        <v>308</v>
      </c>
      <c r="Z8">
        <f>[1]Variables!Z23</f>
        <v>0</v>
      </c>
      <c r="AE8" s="102" t="str">
        <f t="shared" si="2"/>
        <v>Pressoir</v>
      </c>
    </row>
    <row r="9" spans="1:35" x14ac:dyDescent="0.2">
      <c r="A9" s="128"/>
      <c r="F9">
        <v>0.45</v>
      </c>
      <c r="I9" s="128"/>
      <c r="J9" s="128"/>
      <c r="K9" s="128"/>
      <c r="O9">
        <f t="shared" si="4"/>
        <v>0</v>
      </c>
      <c r="P9">
        <f t="shared" si="1"/>
        <v>0</v>
      </c>
      <c r="S9" s="128" t="s">
        <v>141</v>
      </c>
      <c r="T9" s="128">
        <f>Variables!T34</f>
        <v>0</v>
      </c>
      <c r="U9" s="128"/>
      <c r="V9" s="128"/>
      <c r="W9" s="128"/>
      <c r="Y9" s="102" t="s">
        <v>255</v>
      </c>
      <c r="Z9">
        <f>[1]Variables!Z26</f>
        <v>0</v>
      </c>
      <c r="AE9" s="102" t="str">
        <f t="shared" si="2"/>
        <v>Pasteurisateur</v>
      </c>
    </row>
    <row r="10" spans="1:35" x14ac:dyDescent="0.2">
      <c r="A10" s="128"/>
      <c r="F10">
        <v>0.5</v>
      </c>
      <c r="I10" s="132" t="s">
        <v>374</v>
      </c>
      <c r="J10" s="128"/>
      <c r="K10" s="128"/>
      <c r="L10" s="102" t="s">
        <v>375</v>
      </c>
      <c r="O10" t="str">
        <f t="shared" si="4"/>
        <v>Variables en jaune</v>
      </c>
      <c r="P10">
        <f t="shared" si="1"/>
        <v>0</v>
      </c>
      <c r="S10" s="134" t="s">
        <v>142</v>
      </c>
      <c r="T10" s="128"/>
      <c r="U10" s="128"/>
      <c r="V10" s="128"/>
      <c r="W10" s="128"/>
      <c r="Y10" s="102" t="s">
        <v>309</v>
      </c>
      <c r="AE10" s="102" t="str">
        <f t="shared" si="2"/>
        <v>Remplisseuse</v>
      </c>
    </row>
    <row r="11" spans="1:35" x14ac:dyDescent="0.2">
      <c r="A11" s="128"/>
      <c r="F11">
        <v>0.55000000000000004</v>
      </c>
      <c r="I11" s="128"/>
      <c r="J11" s="128"/>
      <c r="K11" s="128"/>
      <c r="O11">
        <f t="shared" si="4"/>
        <v>0</v>
      </c>
      <c r="P11">
        <f t="shared" si="1"/>
        <v>0</v>
      </c>
      <c r="S11" s="128">
        <f>Variables!S39</f>
        <v>0</v>
      </c>
      <c r="T11" s="128"/>
      <c r="U11" s="128"/>
      <c r="V11" s="128"/>
      <c r="W11" s="128"/>
      <c r="Y11">
        <f>[1]Variables!Y31</f>
        <v>0</v>
      </c>
    </row>
    <row r="12" spans="1:35" x14ac:dyDescent="0.2">
      <c r="A12" s="132" t="s">
        <v>296</v>
      </c>
      <c r="B12" s="102" t="s">
        <v>269</v>
      </c>
      <c r="C12" t="str">
        <f>IF($I$1=1,A12,B12)</f>
        <v>BiB complets</v>
      </c>
      <c r="F12">
        <v>0.6</v>
      </c>
      <c r="I12" s="128" t="s">
        <v>98</v>
      </c>
      <c r="J12" s="128"/>
      <c r="K12" s="128" t="s">
        <v>99</v>
      </c>
      <c r="L12" t="s">
        <v>234</v>
      </c>
      <c r="N12" t="s">
        <v>235</v>
      </c>
      <c r="O12" t="str">
        <f t="shared" si="4"/>
        <v>Prétention de salaire</v>
      </c>
      <c r="P12" t="str">
        <f t="shared" si="1"/>
        <v>CHF/heure</v>
      </c>
      <c r="S12" s="128"/>
      <c r="T12" s="128"/>
      <c r="U12" s="128"/>
      <c r="V12" s="128"/>
      <c r="W12" s="128"/>
    </row>
    <row r="13" spans="1:35" x14ac:dyDescent="0.2">
      <c r="A13" s="134" t="s">
        <v>192</v>
      </c>
      <c r="B13" s="102" t="s">
        <v>342</v>
      </c>
      <c r="C13" t="str">
        <f t="shared" ref="C13:C22" si="6">IF($I$1=1,A13,B13)</f>
        <v>Bouteilles PET</v>
      </c>
      <c r="F13">
        <v>0.65</v>
      </c>
      <c r="I13" s="128"/>
      <c r="J13" s="128"/>
      <c r="K13" s="128"/>
      <c r="O13">
        <f t="shared" si="4"/>
        <v>0</v>
      </c>
      <c r="P13">
        <f t="shared" si="1"/>
        <v>0</v>
      </c>
      <c r="S13" s="128"/>
      <c r="T13" s="128"/>
      <c r="U13" s="128"/>
      <c r="V13" s="128"/>
      <c r="W13" s="128"/>
    </row>
    <row r="14" spans="1:35" x14ac:dyDescent="0.2">
      <c r="A14" s="134" t="s">
        <v>191</v>
      </c>
      <c r="B14" s="102" t="s">
        <v>343</v>
      </c>
      <c r="C14" t="str">
        <f t="shared" si="6"/>
        <v>Bouteilles verre</v>
      </c>
      <c r="F14">
        <v>0.7</v>
      </c>
      <c r="I14" s="128" t="s">
        <v>184</v>
      </c>
      <c r="J14" s="128"/>
      <c r="K14" s="128"/>
      <c r="L14" t="s">
        <v>236</v>
      </c>
      <c r="O14" t="str">
        <f t="shared" si="4"/>
        <v>Volumes pressés</v>
      </c>
      <c r="P14">
        <f t="shared" si="1"/>
        <v>0</v>
      </c>
      <c r="S14" s="128"/>
      <c r="T14" s="128"/>
      <c r="U14" s="128"/>
      <c r="V14" s="128"/>
      <c r="W14" s="128"/>
    </row>
    <row r="15" spans="1:35" ht="15.75" x14ac:dyDescent="0.25">
      <c r="A15" s="128" t="s">
        <v>196</v>
      </c>
      <c r="B15" t="s">
        <v>344</v>
      </c>
      <c r="C15" t="str">
        <f t="shared" si="6"/>
        <v xml:space="preserve">Outres </v>
      </c>
      <c r="F15">
        <v>0.75</v>
      </c>
      <c r="I15" s="128"/>
      <c r="J15" s="128"/>
      <c r="K15" s="128"/>
      <c r="O15">
        <f t="shared" si="4"/>
        <v>0</v>
      </c>
      <c r="P15">
        <f t="shared" si="1"/>
        <v>0</v>
      </c>
      <c r="S15" s="139" t="s">
        <v>221</v>
      </c>
      <c r="T15" s="128"/>
      <c r="U15" s="128"/>
      <c r="V15" s="128"/>
      <c r="W15" s="128"/>
      <c r="Y15" s="103" t="s">
        <v>310</v>
      </c>
      <c r="AE15" s="103" t="str">
        <f t="shared" si="2"/>
        <v>Couts fixes pressage</v>
      </c>
    </row>
    <row r="16" spans="1:35" ht="15" x14ac:dyDescent="0.25">
      <c r="A16" s="128"/>
      <c r="F16">
        <v>0.8</v>
      </c>
      <c r="I16" s="132" t="s">
        <v>376</v>
      </c>
      <c r="J16" s="128"/>
      <c r="K16" s="128" t="s">
        <v>133</v>
      </c>
      <c r="L16" t="s">
        <v>237</v>
      </c>
      <c r="N16" t="s">
        <v>238</v>
      </c>
      <c r="O16" t="str">
        <f t="shared" si="4"/>
        <v>Nombre de litres à façon pressés annuellement (moyenne 5 ans)</v>
      </c>
      <c r="P16" t="str">
        <f t="shared" si="1"/>
        <v>litres/année</v>
      </c>
      <c r="S16" s="135" t="s">
        <v>106</v>
      </c>
      <c r="T16" s="128"/>
      <c r="U16" s="128"/>
      <c r="V16" s="128"/>
      <c r="W16" s="128"/>
      <c r="Y16" s="4" t="s">
        <v>8</v>
      </c>
      <c r="AE16" s="4" t="str">
        <f t="shared" si="2"/>
        <v>Amortissement</v>
      </c>
    </row>
    <row r="17" spans="1:34" x14ac:dyDescent="0.2">
      <c r="A17" s="128"/>
      <c r="F17">
        <v>0.85</v>
      </c>
      <c r="I17" s="132" t="s">
        <v>377</v>
      </c>
      <c r="J17" s="128"/>
      <c r="K17" s="128" t="s">
        <v>133</v>
      </c>
      <c r="L17" t="s">
        <v>239</v>
      </c>
      <c r="N17" t="s">
        <v>238</v>
      </c>
      <c r="O17" t="str">
        <f t="shared" si="4"/>
        <v>Nombre de litres pour la vente pressés annuellement (moyenne 5 ans)</v>
      </c>
      <c r="P17" t="str">
        <f t="shared" si="1"/>
        <v>litres/année</v>
      </c>
      <c r="S17" s="134" t="s">
        <v>137</v>
      </c>
      <c r="T17" s="128"/>
      <c r="U17" s="128">
        <f>Variables!T27</f>
        <v>0</v>
      </c>
      <c r="V17" s="132" t="s">
        <v>324</v>
      </c>
      <c r="W17" s="128"/>
      <c r="Y17" t="s">
        <v>9</v>
      </c>
      <c r="AA17">
        <f>[1]Variables!Z19</f>
        <v>0</v>
      </c>
      <c r="AB17" t="s">
        <v>11</v>
      </c>
      <c r="AE17" t="str">
        <f t="shared" si="2"/>
        <v>Pressoir</v>
      </c>
      <c r="AH17" t="str">
        <f t="shared" si="3"/>
        <v>années</v>
      </c>
    </row>
    <row r="18" spans="1:34" x14ac:dyDescent="0.2">
      <c r="A18" s="128"/>
      <c r="F18">
        <v>0.9</v>
      </c>
      <c r="I18" s="128"/>
      <c r="J18" s="128"/>
      <c r="K18" s="128"/>
      <c r="O18">
        <f t="shared" si="4"/>
        <v>0</v>
      </c>
      <c r="P18">
        <f t="shared" si="1"/>
        <v>0</v>
      </c>
      <c r="S18" s="134" t="s">
        <v>208</v>
      </c>
      <c r="T18" s="128"/>
      <c r="U18" s="128">
        <f>Variables!T28</f>
        <v>0</v>
      </c>
      <c r="V18" s="132" t="s">
        <v>324</v>
      </c>
      <c r="W18" s="128"/>
      <c r="Y18" t="s">
        <v>10</v>
      </c>
      <c r="AA18">
        <f>[1]Variables!Z20</f>
        <v>0</v>
      </c>
      <c r="AB18" t="s">
        <v>11</v>
      </c>
      <c r="AE18" t="str">
        <f t="shared" si="2"/>
        <v>Petit matériel</v>
      </c>
      <c r="AH18" t="str">
        <f t="shared" si="3"/>
        <v>années</v>
      </c>
    </row>
    <row r="19" spans="1:34" x14ac:dyDescent="0.2">
      <c r="A19" s="128" t="s">
        <v>140</v>
      </c>
      <c r="B19" t="s">
        <v>256</v>
      </c>
      <c r="C19" t="str">
        <f t="shared" si="6"/>
        <v>électrique</v>
      </c>
      <c r="F19">
        <v>0.95</v>
      </c>
      <c r="I19" s="128" t="s">
        <v>110</v>
      </c>
      <c r="J19" s="128"/>
      <c r="K19" s="128" t="s">
        <v>115</v>
      </c>
      <c r="L19" t="s">
        <v>240</v>
      </c>
      <c r="N19" t="s">
        <v>242</v>
      </c>
      <c r="O19" t="str">
        <f t="shared" si="4"/>
        <v xml:space="preserve">Achat de fruits </v>
      </c>
      <c r="P19" t="str">
        <f t="shared" ref="P19:P67" si="7">IF($I$1=1,K19,N19)</f>
        <v>oui/non</v>
      </c>
      <c r="S19" s="128"/>
      <c r="T19" s="128"/>
      <c r="U19" s="128"/>
      <c r="V19" s="128"/>
      <c r="W19" s="128"/>
      <c r="AE19">
        <f t="shared" si="2"/>
        <v>0</v>
      </c>
    </row>
    <row r="20" spans="1:34" ht="15" x14ac:dyDescent="0.25">
      <c r="A20" s="128" t="s">
        <v>138</v>
      </c>
      <c r="B20" t="s">
        <v>316</v>
      </c>
      <c r="C20" t="str">
        <f t="shared" si="6"/>
        <v>à gaz</v>
      </c>
      <c r="F20">
        <v>1</v>
      </c>
      <c r="I20" s="128" t="s">
        <v>111</v>
      </c>
      <c r="J20" s="128"/>
      <c r="K20" s="128" t="s">
        <v>185</v>
      </c>
      <c r="L20" t="s">
        <v>243</v>
      </c>
      <c r="N20" t="s">
        <v>185</v>
      </c>
      <c r="O20" t="str">
        <f t="shared" si="4"/>
        <v>Pommes</v>
      </c>
      <c r="P20" t="str">
        <f t="shared" si="7"/>
        <v>kg  à</v>
      </c>
      <c r="S20" s="135" t="s">
        <v>209</v>
      </c>
      <c r="T20" s="128"/>
      <c r="U20" s="128"/>
      <c r="V20" s="128"/>
      <c r="W20" s="128"/>
      <c r="Y20" s="4" t="s">
        <v>12</v>
      </c>
      <c r="AE20" s="4" t="str">
        <f t="shared" si="2"/>
        <v>Amostissement capital propre</v>
      </c>
    </row>
    <row r="21" spans="1:34" x14ac:dyDescent="0.2">
      <c r="A21" s="128" t="s">
        <v>139</v>
      </c>
      <c r="B21" t="s">
        <v>348</v>
      </c>
      <c r="C21" t="str">
        <f t="shared" si="6"/>
        <v>à mazout</v>
      </c>
      <c r="F21">
        <v>1.05</v>
      </c>
      <c r="I21" s="128" t="s">
        <v>112</v>
      </c>
      <c r="J21" s="128"/>
      <c r="K21" s="128" t="s">
        <v>185</v>
      </c>
      <c r="L21" t="s">
        <v>244</v>
      </c>
      <c r="N21" t="s">
        <v>185</v>
      </c>
      <c r="O21" t="str">
        <f t="shared" si="4"/>
        <v>Poires</v>
      </c>
      <c r="P21" t="str">
        <f t="shared" si="7"/>
        <v>kg  à</v>
      </c>
      <c r="S21" s="140">
        <v>0.6</v>
      </c>
      <c r="T21" s="134" t="s">
        <v>210</v>
      </c>
      <c r="U21" s="128"/>
      <c r="V21" s="140">
        <f>Variables!T43</f>
        <v>0</v>
      </c>
      <c r="W21" s="140"/>
      <c r="Y21" s="104">
        <v>0.6</v>
      </c>
      <c r="Z21" t="s">
        <v>13</v>
      </c>
      <c r="AB21" s="104">
        <f>[1]Variables!Z35</f>
        <v>0</v>
      </c>
      <c r="AC21" s="104"/>
      <c r="AE21" s="104">
        <f t="shared" si="2"/>
        <v>0.6</v>
      </c>
      <c r="AF21" t="str">
        <f t="shared" ref="AF21:AF63" si="8">IF($I$1=1,T21,Z21)</f>
        <v xml:space="preserve">du capital à </v>
      </c>
    </row>
    <row r="22" spans="1:34" x14ac:dyDescent="0.2">
      <c r="A22" s="128" t="s">
        <v>130</v>
      </c>
      <c r="B22" t="s">
        <v>346</v>
      </c>
      <c r="C22" t="str">
        <f t="shared" si="6"/>
        <v>autre</v>
      </c>
      <c r="F22">
        <v>1.1000000000000001</v>
      </c>
      <c r="I22" s="128" t="s">
        <v>113</v>
      </c>
      <c r="J22" s="128"/>
      <c r="K22" s="128" t="s">
        <v>185</v>
      </c>
      <c r="L22" t="s">
        <v>245</v>
      </c>
      <c r="N22" t="s">
        <v>185</v>
      </c>
      <c r="O22" t="str">
        <f t="shared" si="4"/>
        <v>Coings</v>
      </c>
      <c r="P22" t="str">
        <f t="shared" si="7"/>
        <v>kg  à</v>
      </c>
      <c r="S22" s="128"/>
      <c r="T22" s="128"/>
      <c r="U22" s="128"/>
      <c r="V22" s="128"/>
      <c r="W22" s="128"/>
    </row>
    <row r="23" spans="1:34" ht="15" x14ac:dyDescent="0.25">
      <c r="A23" s="38"/>
      <c r="F23">
        <v>1.1499999999999999</v>
      </c>
      <c r="I23" s="128" t="s">
        <v>114</v>
      </c>
      <c r="J23" s="128"/>
      <c r="K23" s="128" t="s">
        <v>185</v>
      </c>
      <c r="L23" t="s">
        <v>246</v>
      </c>
      <c r="N23" t="s">
        <v>185</v>
      </c>
      <c r="O23" t="str">
        <f t="shared" si="4"/>
        <v>Raisin</v>
      </c>
      <c r="P23" t="str">
        <f t="shared" si="7"/>
        <v>kg  à</v>
      </c>
      <c r="S23" s="135" t="s">
        <v>211</v>
      </c>
      <c r="T23" s="128"/>
      <c r="U23" s="128"/>
      <c r="V23" s="128"/>
      <c r="W23" s="128"/>
      <c r="Y23" s="4" t="s">
        <v>14</v>
      </c>
      <c r="AE23" s="4" t="str">
        <f t="shared" si="2"/>
        <v>Coût bâtiment</v>
      </c>
    </row>
    <row r="24" spans="1:34" x14ac:dyDescent="0.2">
      <c r="F24">
        <v>1.2</v>
      </c>
      <c r="I24" s="128"/>
      <c r="J24" s="128"/>
      <c r="K24" s="128"/>
      <c r="O24">
        <f t="shared" si="4"/>
        <v>0</v>
      </c>
      <c r="P24">
        <f t="shared" si="7"/>
        <v>0</v>
      </c>
      <c r="S24" s="37">
        <v>30</v>
      </c>
      <c r="T24" s="134" t="s">
        <v>212</v>
      </c>
      <c r="U24" s="128">
        <f>Variables!T41</f>
        <v>0</v>
      </c>
      <c r="V24" s="128" t="s">
        <v>20</v>
      </c>
      <c r="W24" s="128"/>
      <c r="Y24" s="105">
        <v>30</v>
      </c>
      <c r="Z24" t="s">
        <v>15</v>
      </c>
      <c r="AA24" s="6">
        <f>[1]Variables!Z33</f>
        <v>0</v>
      </c>
      <c r="AB24" t="s">
        <v>20</v>
      </c>
      <c r="AE24" s="105">
        <f t="shared" si="2"/>
        <v>30</v>
      </c>
      <c r="AF24" t="str">
        <f t="shared" si="8"/>
        <v>par m3</v>
      </c>
      <c r="AH24" t="str">
        <f t="shared" si="3"/>
        <v>m3</v>
      </c>
    </row>
    <row r="25" spans="1:34" x14ac:dyDescent="0.2">
      <c r="F25">
        <v>1.25</v>
      </c>
      <c r="I25" s="128" t="s">
        <v>134</v>
      </c>
      <c r="J25" s="128"/>
      <c r="K25" s="128" t="s">
        <v>135</v>
      </c>
      <c r="L25" t="s">
        <v>247</v>
      </c>
      <c r="N25" t="s">
        <v>238</v>
      </c>
      <c r="O25" t="str">
        <f t="shared" si="4"/>
        <v>Total volume de jus pressé annuellement</v>
      </c>
      <c r="P25" t="str">
        <f t="shared" si="7"/>
        <v>Litres / année</v>
      </c>
      <c r="S25" s="128"/>
      <c r="T25" s="128"/>
      <c r="U25" s="128"/>
      <c r="V25" s="128"/>
      <c r="W25" s="128"/>
    </row>
    <row r="26" spans="1:34" ht="15" x14ac:dyDescent="0.25">
      <c r="F26">
        <v>1.3</v>
      </c>
      <c r="I26" s="128"/>
      <c r="J26" s="128"/>
      <c r="K26" s="128"/>
      <c r="O26">
        <f t="shared" si="4"/>
        <v>0</v>
      </c>
      <c r="P26">
        <f t="shared" si="7"/>
        <v>0</v>
      </c>
      <c r="S26" s="141" t="s">
        <v>217</v>
      </c>
      <c r="T26" s="135"/>
      <c r="U26" s="135"/>
      <c r="V26" s="135"/>
      <c r="W26" s="135"/>
      <c r="Y26" s="106" t="s">
        <v>16</v>
      </c>
      <c r="Z26" s="4"/>
      <c r="AA26" s="4"/>
      <c r="AB26" s="4"/>
      <c r="AC26" s="4"/>
      <c r="AE26" s="106" t="str">
        <f t="shared" si="2"/>
        <v>Total coûts fixe pressoire</v>
      </c>
    </row>
    <row r="27" spans="1:34" x14ac:dyDescent="0.2">
      <c r="F27">
        <v>1.35</v>
      </c>
      <c r="I27" s="128" t="s">
        <v>106</v>
      </c>
      <c r="J27" s="128"/>
      <c r="K27" s="128"/>
      <c r="L27" t="s">
        <v>8</v>
      </c>
      <c r="O27" t="str">
        <f t="shared" si="4"/>
        <v>Amortissement</v>
      </c>
      <c r="P27">
        <f t="shared" si="7"/>
        <v>0</v>
      </c>
      <c r="S27" s="134" t="s">
        <v>218</v>
      </c>
      <c r="T27" s="128"/>
      <c r="U27" s="128"/>
      <c r="V27" s="128"/>
      <c r="W27" s="128"/>
      <c r="Y27" t="s">
        <v>17</v>
      </c>
      <c r="AE27" t="str">
        <f t="shared" si="2"/>
        <v>Coût par litre</v>
      </c>
    </row>
    <row r="28" spans="1:34" x14ac:dyDescent="0.2">
      <c r="F28">
        <v>1.4</v>
      </c>
      <c r="I28" s="128" t="s">
        <v>109</v>
      </c>
      <c r="J28" s="128"/>
      <c r="K28" s="128" t="s">
        <v>108</v>
      </c>
      <c r="L28" t="s">
        <v>248</v>
      </c>
      <c r="N28" t="s">
        <v>11</v>
      </c>
      <c r="O28" t="str">
        <f t="shared" si="4"/>
        <v>Pressoir, pasteurisateur, remplisseuse</v>
      </c>
      <c r="P28" t="str">
        <f t="shared" si="7"/>
        <v>ans</v>
      </c>
      <c r="S28" s="128"/>
      <c r="T28" s="128"/>
      <c r="U28" s="128"/>
      <c r="V28" s="128"/>
      <c r="W28" s="128"/>
    </row>
    <row r="29" spans="1:34" x14ac:dyDescent="0.2">
      <c r="F29">
        <v>1.45</v>
      </c>
      <c r="I29" s="132" t="s">
        <v>208</v>
      </c>
      <c r="J29" s="128"/>
      <c r="K29" s="128" t="s">
        <v>108</v>
      </c>
      <c r="L29" t="s">
        <v>10</v>
      </c>
      <c r="N29" t="s">
        <v>11</v>
      </c>
      <c r="O29" t="str">
        <f t="shared" si="4"/>
        <v>Petit matériel</v>
      </c>
      <c r="P29" t="str">
        <f t="shared" si="7"/>
        <v>ans</v>
      </c>
      <c r="S29" s="128"/>
      <c r="T29" s="128"/>
      <c r="U29" s="128"/>
      <c r="V29" s="128"/>
      <c r="W29" s="128"/>
    </row>
    <row r="30" spans="1:34" ht="15.75" x14ac:dyDescent="0.25">
      <c r="F30">
        <v>1.5</v>
      </c>
      <c r="I30" s="128"/>
      <c r="J30" s="128"/>
      <c r="K30" s="128"/>
      <c r="O30">
        <f t="shared" si="4"/>
        <v>0</v>
      </c>
      <c r="P30">
        <f t="shared" si="7"/>
        <v>0</v>
      </c>
      <c r="S30" s="139" t="s">
        <v>222</v>
      </c>
      <c r="T30" s="128"/>
      <c r="U30" s="128"/>
      <c r="V30" s="128"/>
      <c r="W30" s="128"/>
      <c r="Y30" s="103" t="s">
        <v>325</v>
      </c>
      <c r="AE30" s="103" t="str">
        <f t="shared" si="2"/>
        <v>Coûts variables pressage</v>
      </c>
    </row>
    <row r="31" spans="1:34" ht="15" x14ac:dyDescent="0.25">
      <c r="F31">
        <v>1.55</v>
      </c>
      <c r="I31" s="128" t="s">
        <v>104</v>
      </c>
      <c r="J31" s="128"/>
      <c r="K31" s="128"/>
      <c r="L31" t="s">
        <v>249</v>
      </c>
      <c r="O31" t="str">
        <f t="shared" si="4"/>
        <v>Machines et bâtiment</v>
      </c>
      <c r="P31">
        <f t="shared" si="7"/>
        <v>0</v>
      </c>
      <c r="S31" s="135" t="s">
        <v>214</v>
      </c>
      <c r="T31" s="128"/>
      <c r="U31" s="134" t="s">
        <v>215</v>
      </c>
      <c r="V31" s="128" t="s">
        <v>20</v>
      </c>
      <c r="W31" s="129">
        <f>X6*4/1000</f>
        <v>0</v>
      </c>
      <c r="Y31" s="4" t="s">
        <v>19</v>
      </c>
      <c r="AA31" t="s">
        <v>35</v>
      </c>
      <c r="AB31" t="s">
        <v>20</v>
      </c>
      <c r="AC31" s="107">
        <f>AD6*4/1000</f>
        <v>0</v>
      </c>
      <c r="AE31" s="4" t="str">
        <f t="shared" si="2"/>
        <v>Utilisation d'eau</v>
      </c>
      <c r="AG31" t="str">
        <f t="shared" ref="AG31:AG53" si="9">IF($I$1=1,U31,AA31)</f>
        <v>4 l d'eau / 1 l de jus</v>
      </c>
      <c r="AH31" t="str">
        <f t="shared" si="3"/>
        <v>m3</v>
      </c>
    </row>
    <row r="32" spans="1:34" x14ac:dyDescent="0.2">
      <c r="F32">
        <v>1.6</v>
      </c>
      <c r="I32" s="128" t="s">
        <v>122</v>
      </c>
      <c r="J32" s="128"/>
      <c r="K32" s="128" t="s">
        <v>91</v>
      </c>
      <c r="L32" t="s">
        <v>250</v>
      </c>
      <c r="N32" t="s">
        <v>251</v>
      </c>
      <c r="O32" t="str">
        <f t="shared" si="4"/>
        <v>Type de pressoir</v>
      </c>
      <c r="P32" t="str">
        <f t="shared" si="7"/>
        <v>type</v>
      </c>
      <c r="S32" s="128"/>
      <c r="T32" s="128"/>
      <c r="U32" s="37">
        <f>Variables!T45</f>
        <v>0</v>
      </c>
      <c r="V32" s="128"/>
      <c r="W32" s="128"/>
      <c r="AA32" s="105">
        <f>[1]Variables!Z37</f>
        <v>0</v>
      </c>
    </row>
    <row r="33" spans="6:35" x14ac:dyDescent="0.2">
      <c r="F33">
        <v>1.65</v>
      </c>
      <c r="I33" s="128" t="s">
        <v>186</v>
      </c>
      <c r="J33" s="128"/>
      <c r="K33" s="128" t="s">
        <v>90</v>
      </c>
      <c r="L33" t="s">
        <v>252</v>
      </c>
      <c r="N33" t="s">
        <v>90</v>
      </c>
      <c r="O33" t="str">
        <f t="shared" si="4"/>
        <v>Valeur du pressoir avec broyeur</v>
      </c>
      <c r="P33" t="str">
        <f t="shared" si="7"/>
        <v>CHF</v>
      </c>
      <c r="S33" s="128"/>
      <c r="T33" s="128"/>
      <c r="U33" s="128"/>
      <c r="V33" s="128"/>
      <c r="W33" s="128"/>
    </row>
    <row r="34" spans="6:35" ht="15" x14ac:dyDescent="0.25">
      <c r="F34">
        <v>1.7</v>
      </c>
      <c r="I34" s="128" t="s">
        <v>170</v>
      </c>
      <c r="J34" s="128"/>
      <c r="K34" s="128" t="s">
        <v>143</v>
      </c>
      <c r="L34" t="s">
        <v>253</v>
      </c>
      <c r="N34" t="s">
        <v>254</v>
      </c>
      <c r="O34" t="str">
        <f t="shared" si="4"/>
        <v>Rendement à l'heure réel du pressoir</v>
      </c>
      <c r="P34" t="str">
        <f t="shared" si="7"/>
        <v>Litres/heure</v>
      </c>
      <c r="S34" s="135" t="s">
        <v>21</v>
      </c>
      <c r="T34" s="128"/>
      <c r="U34" s="128" t="s">
        <v>22</v>
      </c>
      <c r="V34" s="128" t="s">
        <v>23</v>
      </c>
      <c r="W34" s="129">
        <f>X6/100</f>
        <v>0</v>
      </c>
      <c r="Y34" s="4" t="s">
        <v>21</v>
      </c>
      <c r="AA34" t="s">
        <v>22</v>
      </c>
      <c r="AB34" t="s">
        <v>23</v>
      </c>
      <c r="AC34" s="107">
        <f>AD6/100</f>
        <v>0</v>
      </c>
      <c r="AE34" s="4" t="str">
        <f t="shared" si="2"/>
        <v>Energie</v>
      </c>
      <c r="AG34" t="str">
        <f t="shared" si="9"/>
        <v>0.5 kWh / 100l</v>
      </c>
      <c r="AH34" t="str">
        <f t="shared" si="3"/>
        <v>kWh</v>
      </c>
    </row>
    <row r="35" spans="6:35" x14ac:dyDescent="0.2">
      <c r="F35">
        <v>1.75</v>
      </c>
      <c r="I35" s="128" t="s">
        <v>123</v>
      </c>
      <c r="J35" s="128"/>
      <c r="K35" s="128" t="s">
        <v>91</v>
      </c>
      <c r="L35" t="s">
        <v>255</v>
      </c>
      <c r="N35" t="s">
        <v>251</v>
      </c>
      <c r="O35" t="str">
        <f t="shared" si="4"/>
        <v>Type de pasteurisateur</v>
      </c>
      <c r="P35" t="str">
        <f t="shared" si="7"/>
        <v>type</v>
      </c>
      <c r="S35" s="128"/>
      <c r="T35" s="128"/>
      <c r="U35" s="37">
        <v>0.22</v>
      </c>
      <c r="V35" s="128"/>
      <c r="W35" s="128"/>
      <c r="AA35" s="105">
        <v>0.22</v>
      </c>
      <c r="AG35">
        <f t="shared" si="9"/>
        <v>0.22</v>
      </c>
    </row>
    <row r="36" spans="6:35" x14ac:dyDescent="0.2">
      <c r="F36">
        <v>1.8</v>
      </c>
      <c r="I36" s="128" t="s">
        <v>89</v>
      </c>
      <c r="J36" s="128"/>
      <c r="K36" s="128" t="s">
        <v>90</v>
      </c>
      <c r="L36" t="s">
        <v>257</v>
      </c>
      <c r="N36" t="s">
        <v>90</v>
      </c>
      <c r="O36" t="str">
        <f t="shared" si="4"/>
        <v>Valeur du pasteurisateur</v>
      </c>
      <c r="P36" t="str">
        <f t="shared" si="7"/>
        <v>CHF</v>
      </c>
      <c r="S36" s="128"/>
      <c r="T36" s="128"/>
      <c r="U36" s="128"/>
      <c r="V36" s="128"/>
      <c r="W36" s="128"/>
    </row>
    <row r="37" spans="6:35" ht="15" x14ac:dyDescent="0.25">
      <c r="F37">
        <v>1.85</v>
      </c>
      <c r="I37" s="132" t="s">
        <v>299</v>
      </c>
      <c r="J37" s="128"/>
      <c r="K37" s="128" t="s">
        <v>150</v>
      </c>
      <c r="L37" t="s">
        <v>258</v>
      </c>
      <c r="N37" t="s">
        <v>150</v>
      </c>
      <c r="O37" t="str">
        <f t="shared" si="4"/>
        <v>Consommation en kW</v>
      </c>
      <c r="P37" t="str">
        <f t="shared" si="7"/>
        <v>kW</v>
      </c>
      <c r="S37" s="135" t="s">
        <v>145</v>
      </c>
      <c r="T37" s="134" t="s">
        <v>148</v>
      </c>
      <c r="U37" s="128">
        <f>IF(T8=Feuil1!S2,0.7,1)</f>
        <v>0.7</v>
      </c>
      <c r="V37" s="134" t="s">
        <v>121</v>
      </c>
      <c r="W37" s="129">
        <f>X6*U37/1000</f>
        <v>0</v>
      </c>
      <c r="Y37" s="4" t="s">
        <v>24</v>
      </c>
      <c r="Z37" s="102" t="s">
        <v>311</v>
      </c>
      <c r="AA37" t="e">
        <f>IF(Z8=[1]Feuil1!#REF!,0.7,1)</f>
        <v>#REF!</v>
      </c>
      <c r="AB37" t="s">
        <v>26</v>
      </c>
      <c r="AC37" s="107" t="e">
        <f>AD6*AA37/1000</f>
        <v>#REF!</v>
      </c>
      <c r="AE37" s="4" t="str">
        <f t="shared" si="2"/>
        <v>Entretien</v>
      </c>
      <c r="AF37" t="str">
        <f t="shared" si="8"/>
        <v>pressoir / année</v>
      </c>
      <c r="AG37">
        <f t="shared" si="9"/>
        <v>0.7</v>
      </c>
      <c r="AH37" t="str">
        <f t="shared" si="3"/>
        <v>heures / 1000 l</v>
      </c>
      <c r="AI37">
        <f t="shared" si="5"/>
        <v>0</v>
      </c>
    </row>
    <row r="38" spans="6:35" x14ac:dyDescent="0.2">
      <c r="F38">
        <v>1.9</v>
      </c>
      <c r="I38" s="128" t="s">
        <v>105</v>
      </c>
      <c r="J38" s="128"/>
      <c r="K38" s="128" t="s">
        <v>143</v>
      </c>
      <c r="L38" t="s">
        <v>259</v>
      </c>
      <c r="N38" t="s">
        <v>254</v>
      </c>
      <c r="O38" t="str">
        <f t="shared" si="4"/>
        <v>Rendement réel à l'heure du pasteurisateur</v>
      </c>
      <c r="P38" t="str">
        <f t="shared" si="7"/>
        <v>Litres/heure</v>
      </c>
      <c r="S38" s="128"/>
      <c r="T38" s="128"/>
      <c r="U38" s="37">
        <f>Variables!T11</f>
        <v>0</v>
      </c>
      <c r="V38" s="128"/>
      <c r="W38" s="128"/>
      <c r="AA38" s="105">
        <f>[1]Variables!Z3</f>
        <v>0</v>
      </c>
    </row>
    <row r="39" spans="6:35" x14ac:dyDescent="0.2">
      <c r="F39">
        <v>1.95</v>
      </c>
      <c r="I39" s="128" t="s">
        <v>177</v>
      </c>
      <c r="J39" s="128"/>
      <c r="K39" s="128" t="s">
        <v>90</v>
      </c>
      <c r="L39" t="s">
        <v>260</v>
      </c>
      <c r="N39" t="s">
        <v>90</v>
      </c>
      <c r="O39" t="str">
        <f t="shared" si="4"/>
        <v xml:space="preserve">Valeur de la remplisseuse </v>
      </c>
      <c r="P39" t="str">
        <f t="shared" si="7"/>
        <v>CHF</v>
      </c>
      <c r="S39" s="128"/>
      <c r="T39" s="128"/>
      <c r="U39" s="128"/>
      <c r="V39" s="128"/>
      <c r="W39" s="128"/>
    </row>
    <row r="40" spans="6:35" ht="15" x14ac:dyDescent="0.25">
      <c r="F40">
        <v>2</v>
      </c>
      <c r="I40" s="128" t="s">
        <v>107</v>
      </c>
      <c r="J40" s="128"/>
      <c r="K40" s="128" t="s">
        <v>90</v>
      </c>
      <c r="L40" s="102" t="s">
        <v>323</v>
      </c>
      <c r="N40" t="s">
        <v>90</v>
      </c>
      <c r="O40" t="str">
        <f t="shared" si="4"/>
        <v>Autre petit matériel (pompes, cuves…)</v>
      </c>
      <c r="P40" t="str">
        <f t="shared" si="7"/>
        <v>CHF</v>
      </c>
      <c r="S40" s="135" t="s">
        <v>216</v>
      </c>
      <c r="T40" s="128"/>
      <c r="U40" s="140">
        <v>0.05</v>
      </c>
      <c r="V40" s="132" t="s">
        <v>365</v>
      </c>
      <c r="W40" s="128"/>
      <c r="Y40" s="4" t="s">
        <v>27</v>
      </c>
      <c r="AA40" s="104">
        <v>0.05</v>
      </c>
      <c r="AB40" t="s">
        <v>28</v>
      </c>
      <c r="AE40" s="4" t="str">
        <f t="shared" si="2"/>
        <v>Réparation</v>
      </c>
      <c r="AG40">
        <f t="shared" si="9"/>
        <v>0.05</v>
      </c>
      <c r="AH40" t="str">
        <f t="shared" si="3"/>
        <v>Cap. invest.</v>
      </c>
    </row>
    <row r="41" spans="6:35" x14ac:dyDescent="0.2">
      <c r="F41">
        <v>2.0499999999999998</v>
      </c>
      <c r="I41" s="128"/>
      <c r="J41" s="128"/>
      <c r="K41" s="128"/>
      <c r="O41">
        <f t="shared" si="4"/>
        <v>0</v>
      </c>
      <c r="P41">
        <f t="shared" si="7"/>
        <v>0</v>
      </c>
      <c r="S41" s="128"/>
      <c r="T41" s="128"/>
      <c r="U41" s="128"/>
      <c r="V41" s="128"/>
      <c r="W41" s="128"/>
    </row>
    <row r="42" spans="6:35" ht="15" x14ac:dyDescent="0.25">
      <c r="F42">
        <v>2.1</v>
      </c>
      <c r="I42" s="132" t="s">
        <v>300</v>
      </c>
      <c r="J42" s="128"/>
      <c r="K42" s="128" t="s">
        <v>20</v>
      </c>
      <c r="L42" t="s">
        <v>261</v>
      </c>
      <c r="N42" t="s">
        <v>20</v>
      </c>
      <c r="O42" t="str">
        <f t="shared" si="4"/>
        <v>Volume du bâtiment consacré au pressage et au stockage des jus</v>
      </c>
      <c r="P42" t="str">
        <f t="shared" si="7"/>
        <v>m3</v>
      </c>
      <c r="S42" s="135" t="s">
        <v>146</v>
      </c>
      <c r="T42" s="134" t="s">
        <v>147</v>
      </c>
      <c r="U42" s="130" t="e">
        <f>X6/Variables!T33</f>
        <v>#DIV/0!</v>
      </c>
      <c r="V42" s="132" t="s">
        <v>327</v>
      </c>
      <c r="W42" s="134"/>
      <c r="Y42" s="4" t="s">
        <v>312</v>
      </c>
      <c r="Z42" s="102" t="s">
        <v>9</v>
      </c>
      <c r="AA42" s="108" t="e">
        <f>AD6/[1]Variables!Z25</f>
        <v>#DIV/0!</v>
      </c>
      <c r="AB42" s="102" t="s">
        <v>52</v>
      </c>
      <c r="AC42" s="102"/>
      <c r="AE42" s="4" t="str">
        <f t="shared" si="2"/>
        <v>Travail</v>
      </c>
      <c r="AF42" t="str">
        <f t="shared" si="8"/>
        <v>pressage</v>
      </c>
      <c r="AG42" t="e">
        <f t="shared" si="9"/>
        <v>#DIV/0!</v>
      </c>
      <c r="AH42" t="str">
        <f t="shared" si="3"/>
        <v>heures</v>
      </c>
    </row>
    <row r="43" spans="6:35" x14ac:dyDescent="0.2">
      <c r="F43">
        <v>2.15</v>
      </c>
      <c r="I43" s="128"/>
      <c r="J43" s="128"/>
      <c r="K43" s="128"/>
      <c r="O43">
        <f t="shared" si="4"/>
        <v>0</v>
      </c>
      <c r="P43">
        <f t="shared" si="7"/>
        <v>0</v>
      </c>
      <c r="S43" s="128"/>
      <c r="T43" s="134" t="s">
        <v>149</v>
      </c>
      <c r="U43" s="130" t="e">
        <f>U42/8*1</f>
        <v>#DIV/0!</v>
      </c>
      <c r="V43" s="132" t="s">
        <v>327</v>
      </c>
      <c r="W43" s="134"/>
      <c r="Z43" s="102" t="s">
        <v>53</v>
      </c>
      <c r="AA43" s="108" t="e">
        <f>AA42/8*1</f>
        <v>#DIV/0!</v>
      </c>
      <c r="AB43" s="102" t="s">
        <v>52</v>
      </c>
      <c r="AC43" s="102"/>
      <c r="AF43" t="str">
        <f t="shared" si="8"/>
        <v>nettoyage</v>
      </c>
      <c r="AG43" t="e">
        <f t="shared" si="9"/>
        <v>#DIV/0!</v>
      </c>
      <c r="AH43" t="str">
        <f t="shared" si="3"/>
        <v>heures</v>
      </c>
    </row>
    <row r="44" spans="6:35" x14ac:dyDescent="0.2">
      <c r="F44">
        <v>2.2000000000000002</v>
      </c>
      <c r="I44" s="128" t="s">
        <v>178</v>
      </c>
      <c r="J44" s="128"/>
      <c r="K44" s="128" t="s">
        <v>96</v>
      </c>
      <c r="L44" t="s">
        <v>262</v>
      </c>
      <c r="N44" t="s">
        <v>96</v>
      </c>
      <c r="O44" t="str">
        <f t="shared" si="4"/>
        <v>Intérêt du capital propre</v>
      </c>
      <c r="P44" t="str">
        <f t="shared" si="7"/>
        <v>%</v>
      </c>
      <c r="S44" s="128"/>
      <c r="T44" s="128"/>
      <c r="U44" s="37">
        <f>Variables!T11</f>
        <v>0</v>
      </c>
      <c r="V44" s="128"/>
      <c r="W44" s="130" t="e">
        <f>U42+U43</f>
        <v>#DIV/0!</v>
      </c>
      <c r="AA44" s="105">
        <f>[1]Variables!Z3</f>
        <v>0</v>
      </c>
      <c r="AC44" s="108" t="e">
        <f>AA42+AA43</f>
        <v>#DIV/0!</v>
      </c>
      <c r="AI44" t="e">
        <f t="shared" si="5"/>
        <v>#DIV/0!</v>
      </c>
    </row>
    <row r="45" spans="6:35" x14ac:dyDescent="0.2">
      <c r="F45">
        <v>2.25</v>
      </c>
      <c r="I45" s="128"/>
      <c r="J45" s="128"/>
      <c r="K45" s="128"/>
      <c r="O45">
        <f t="shared" si="4"/>
        <v>0</v>
      </c>
      <c r="P45">
        <f t="shared" si="7"/>
        <v>0</v>
      </c>
      <c r="S45" s="128"/>
      <c r="T45" s="128"/>
      <c r="U45" s="128"/>
      <c r="V45" s="128"/>
      <c r="W45" s="128"/>
    </row>
    <row r="46" spans="6:35" ht="15" x14ac:dyDescent="0.25">
      <c r="F46">
        <v>2.2999999999999998</v>
      </c>
      <c r="I46" s="128" t="s">
        <v>119</v>
      </c>
      <c r="J46" s="128"/>
      <c r="K46" s="128" t="s">
        <v>144</v>
      </c>
      <c r="L46" t="s">
        <v>263</v>
      </c>
      <c r="N46" t="s">
        <v>144</v>
      </c>
      <c r="O46" t="str">
        <f t="shared" si="4"/>
        <v xml:space="preserve">Prix de l'eau </v>
      </c>
      <c r="P46" t="str">
        <f t="shared" si="7"/>
        <v>CHF/m3</v>
      </c>
      <c r="S46" s="141" t="s">
        <v>354</v>
      </c>
      <c r="T46" s="135"/>
      <c r="U46" s="135"/>
      <c r="V46" s="135"/>
      <c r="W46" s="135"/>
      <c r="Y46" s="106" t="s">
        <v>30</v>
      </c>
      <c r="Z46" s="4"/>
      <c r="AA46" s="4"/>
      <c r="AB46" s="4"/>
      <c r="AC46" s="4"/>
      <c r="AE46" s="106" t="str">
        <f t="shared" si="2"/>
        <v>Total coûts variables pressage</v>
      </c>
    </row>
    <row r="47" spans="6:35" x14ac:dyDescent="0.2">
      <c r="F47">
        <v>2.35</v>
      </c>
      <c r="I47" s="128"/>
      <c r="J47" s="128"/>
      <c r="K47" s="128"/>
      <c r="O47">
        <f t="shared" si="4"/>
        <v>0</v>
      </c>
      <c r="P47">
        <f t="shared" si="7"/>
        <v>0</v>
      </c>
      <c r="S47" s="132" t="s">
        <v>353</v>
      </c>
      <c r="T47" s="128"/>
      <c r="U47" s="128"/>
      <c r="V47" s="128"/>
      <c r="W47" s="128"/>
      <c r="Y47" t="s">
        <v>31</v>
      </c>
      <c r="AE47" t="str">
        <f t="shared" si="2"/>
        <v>Coût pressage par litre</v>
      </c>
    </row>
    <row r="48" spans="6:35" ht="13.5" thickBot="1" x14ac:dyDescent="0.25">
      <c r="F48">
        <v>2.4</v>
      </c>
      <c r="I48" s="128" t="s">
        <v>21</v>
      </c>
      <c r="J48" s="128"/>
      <c r="K48" s="128" t="s">
        <v>91</v>
      </c>
      <c r="L48" t="s">
        <v>21</v>
      </c>
      <c r="N48" t="s">
        <v>251</v>
      </c>
      <c r="O48" t="str">
        <f t="shared" si="4"/>
        <v>Energie</v>
      </c>
      <c r="P48" t="str">
        <f t="shared" si="7"/>
        <v>type</v>
      </c>
      <c r="S48" s="128"/>
      <c r="T48" s="128"/>
      <c r="U48" s="128"/>
      <c r="V48" s="128"/>
      <c r="W48" s="128"/>
    </row>
    <row r="49" spans="6:34" ht="15.75" thickBot="1" x14ac:dyDescent="0.3">
      <c r="F49">
        <v>2.4500000000000002</v>
      </c>
      <c r="I49" s="128" t="s">
        <v>179</v>
      </c>
      <c r="J49" s="128"/>
      <c r="K49" s="128" t="s">
        <v>125</v>
      </c>
      <c r="L49" t="s">
        <v>264</v>
      </c>
      <c r="N49" t="s">
        <v>125</v>
      </c>
      <c r="O49" t="str">
        <f t="shared" si="4"/>
        <v>Prix de l'électricité</v>
      </c>
      <c r="P49" t="str">
        <f t="shared" si="7"/>
        <v>CHF/kWh</v>
      </c>
      <c r="S49" s="135" t="s">
        <v>355</v>
      </c>
      <c r="T49" s="135"/>
      <c r="U49" s="135"/>
      <c r="V49" s="135"/>
      <c r="W49" s="135"/>
      <c r="Y49" s="109" t="s">
        <v>34</v>
      </c>
      <c r="Z49" s="110"/>
      <c r="AA49" s="110"/>
      <c r="AB49" s="110"/>
      <c r="AC49" s="110"/>
      <c r="AE49" s="109" t="str">
        <f t="shared" si="2"/>
        <v>Coûts total brut au pressoir</v>
      </c>
    </row>
    <row r="50" spans="6:34" x14ac:dyDescent="0.2">
      <c r="F50">
        <v>2.5</v>
      </c>
      <c r="I50" s="128" t="s">
        <v>124</v>
      </c>
      <c r="J50" s="128"/>
      <c r="K50" s="128" t="s">
        <v>126</v>
      </c>
      <c r="L50" t="s">
        <v>265</v>
      </c>
      <c r="N50" t="s">
        <v>266</v>
      </c>
      <c r="O50" t="str">
        <f t="shared" si="4"/>
        <v>Prix du mazout</v>
      </c>
      <c r="P50" t="str">
        <f t="shared" si="7"/>
        <v>CHF/litre</v>
      </c>
      <c r="S50" s="136" t="s">
        <v>356</v>
      </c>
      <c r="T50" s="136"/>
      <c r="U50" s="136"/>
      <c r="V50" s="136"/>
      <c r="W50" s="136"/>
      <c r="Y50" s="1" t="s">
        <v>32</v>
      </c>
      <c r="Z50" s="1"/>
      <c r="AA50" s="1"/>
      <c r="AB50" s="1"/>
      <c r="AC50" s="1"/>
      <c r="AE50" s="1" t="str">
        <f t="shared" si="2"/>
        <v>Coûts total brut au pressoir au litre</v>
      </c>
    </row>
    <row r="51" spans="6:34" x14ac:dyDescent="0.2">
      <c r="F51">
        <v>2.5499999999999998</v>
      </c>
      <c r="I51" s="128" t="s">
        <v>127</v>
      </c>
      <c r="J51" s="128"/>
      <c r="K51" s="128" t="s">
        <v>125</v>
      </c>
      <c r="L51" t="s">
        <v>267</v>
      </c>
      <c r="N51" t="s">
        <v>125</v>
      </c>
      <c r="O51" t="str">
        <f t="shared" si="4"/>
        <v>Prix du gaz</v>
      </c>
      <c r="P51" t="str">
        <f t="shared" si="7"/>
        <v>CHF/kWh</v>
      </c>
      <c r="S51" s="128"/>
      <c r="T51" s="128"/>
      <c r="U51" s="128"/>
      <c r="V51" s="128"/>
      <c r="W51" s="128"/>
    </row>
    <row r="52" spans="6:34" x14ac:dyDescent="0.2">
      <c r="F52">
        <v>2.6</v>
      </c>
      <c r="I52" s="128"/>
      <c r="J52" s="128"/>
      <c r="K52" s="128"/>
      <c r="O52">
        <f t="shared" si="4"/>
        <v>0</v>
      </c>
      <c r="P52">
        <f t="shared" si="7"/>
        <v>0</v>
      </c>
      <c r="S52" s="128"/>
      <c r="T52" s="128"/>
      <c r="U52" s="128"/>
      <c r="V52" s="128"/>
      <c r="W52" s="128"/>
    </row>
    <row r="53" spans="6:34" ht="23.25" x14ac:dyDescent="0.35">
      <c r="F53">
        <v>2.65</v>
      </c>
      <c r="I53" s="128" t="s">
        <v>193</v>
      </c>
      <c r="J53" s="128"/>
      <c r="K53" s="128"/>
      <c r="L53" t="s">
        <v>268</v>
      </c>
      <c r="O53" t="str">
        <f t="shared" si="4"/>
        <v xml:space="preserve">Type de contenant </v>
      </c>
      <c r="P53">
        <f t="shared" si="7"/>
        <v>0</v>
      </c>
      <c r="S53" s="138" t="s">
        <v>219</v>
      </c>
      <c r="T53" s="128"/>
      <c r="U53" s="142">
        <v>0.95</v>
      </c>
      <c r="V53" s="132" t="s">
        <v>326</v>
      </c>
      <c r="W53" s="134"/>
      <c r="Y53" s="3" t="s">
        <v>36</v>
      </c>
      <c r="AA53" s="104">
        <v>0.95</v>
      </c>
      <c r="AB53" s="102" t="s">
        <v>313</v>
      </c>
      <c r="AC53" s="102"/>
      <c r="AE53" s="3" t="str">
        <f t="shared" si="2"/>
        <v>Pasteurisation</v>
      </c>
      <c r="AG53">
        <f t="shared" si="9"/>
        <v>0.95</v>
      </c>
      <c r="AH53" t="str">
        <f t="shared" si="3"/>
        <v>(5% de perte)</v>
      </c>
    </row>
    <row r="54" spans="6:34" x14ac:dyDescent="0.2">
      <c r="F54">
        <v>2.7</v>
      </c>
      <c r="I54" s="128"/>
      <c r="J54" s="128"/>
      <c r="K54" s="128"/>
      <c r="O54">
        <f t="shared" si="4"/>
        <v>0</v>
      </c>
      <c r="P54">
        <f t="shared" si="7"/>
        <v>0</v>
      </c>
      <c r="S54" s="128"/>
      <c r="T54" s="128"/>
      <c r="U54" s="128"/>
      <c r="V54" s="128"/>
      <c r="W54" s="128"/>
    </row>
    <row r="55" spans="6:34" ht="15" x14ac:dyDescent="0.25">
      <c r="F55">
        <v>2.75</v>
      </c>
      <c r="I55" s="132" t="s">
        <v>352</v>
      </c>
      <c r="J55" s="128"/>
      <c r="K55" s="128" t="s">
        <v>90</v>
      </c>
      <c r="L55" t="s">
        <v>270</v>
      </c>
      <c r="N55" t="s">
        <v>90</v>
      </c>
      <c r="O55" t="str">
        <f t="shared" si="4"/>
        <v>Prix à l'achat des contenants COMPLET (bouteilles, BiB, etc. avec étiquette, logos, etc.)</v>
      </c>
      <c r="P55" t="str">
        <f t="shared" si="7"/>
        <v>CHF</v>
      </c>
      <c r="S55" s="135" t="s">
        <v>141</v>
      </c>
      <c r="T55" s="128"/>
      <c r="U55" s="128">
        <f>Variables!T34</f>
        <v>0</v>
      </c>
      <c r="V55" s="128"/>
      <c r="W55" s="128"/>
      <c r="Y55" s="4" t="s">
        <v>255</v>
      </c>
      <c r="AA55">
        <f>[1]Variables!Z26</f>
        <v>0</v>
      </c>
      <c r="AE55" s="4" t="str">
        <f t="shared" si="2"/>
        <v>Pasteurisateur</v>
      </c>
    </row>
    <row r="56" spans="6:34" ht="15" x14ac:dyDescent="0.25">
      <c r="F56">
        <v>2.8</v>
      </c>
      <c r="I56" s="128"/>
      <c r="J56" s="128"/>
      <c r="K56" s="128"/>
      <c r="O56">
        <f t="shared" si="4"/>
        <v>0</v>
      </c>
      <c r="P56">
        <f t="shared" si="7"/>
        <v>0</v>
      </c>
      <c r="S56" s="135" t="s">
        <v>142</v>
      </c>
      <c r="T56" s="128"/>
      <c r="U56" s="128"/>
      <c r="V56" s="128"/>
      <c r="W56" s="128"/>
      <c r="Y56" s="4" t="s">
        <v>309</v>
      </c>
      <c r="AE56" s="4" t="str">
        <f t="shared" si="2"/>
        <v>Remplisseuse</v>
      </c>
    </row>
    <row r="57" spans="6:34" x14ac:dyDescent="0.2">
      <c r="F57">
        <v>2.85</v>
      </c>
      <c r="I57" s="128" t="s">
        <v>207</v>
      </c>
      <c r="J57" s="128"/>
      <c r="K57" s="128" t="s">
        <v>101</v>
      </c>
      <c r="L57" t="s">
        <v>271</v>
      </c>
      <c r="N57" t="s">
        <v>65</v>
      </c>
      <c r="O57" t="str">
        <f t="shared" si="4"/>
        <v>Volume en litre des contenants</v>
      </c>
      <c r="P57" t="str">
        <f t="shared" si="7"/>
        <v>Litre</v>
      </c>
      <c r="S57" s="128"/>
      <c r="T57" s="128"/>
      <c r="U57" s="128"/>
      <c r="V57" s="128"/>
      <c r="W57" s="128"/>
    </row>
    <row r="58" spans="6:34" ht="15.75" x14ac:dyDescent="0.25">
      <c r="F58">
        <v>2.9</v>
      </c>
      <c r="I58" s="128"/>
      <c r="J58" s="128"/>
      <c r="K58" s="128"/>
      <c r="O58">
        <f t="shared" si="4"/>
        <v>0</v>
      </c>
      <c r="P58">
        <f t="shared" si="7"/>
        <v>0</v>
      </c>
      <c r="S58" s="139" t="s">
        <v>220</v>
      </c>
      <c r="T58" s="128"/>
      <c r="U58" s="128"/>
      <c r="V58" s="128"/>
      <c r="W58" s="128"/>
      <c r="Y58" s="103" t="s">
        <v>7</v>
      </c>
      <c r="AE58" s="103" t="str">
        <f t="shared" si="2"/>
        <v>Coûts fixes</v>
      </c>
    </row>
    <row r="59" spans="6:34" ht="15" x14ac:dyDescent="0.25">
      <c r="F59">
        <v>2.95</v>
      </c>
      <c r="I59" s="128" t="s">
        <v>97</v>
      </c>
      <c r="J59" s="128"/>
      <c r="K59" s="128"/>
      <c r="L59" t="s">
        <v>272</v>
      </c>
      <c r="O59" t="str">
        <f t="shared" si="4"/>
        <v>Services :</v>
      </c>
      <c r="P59">
        <f t="shared" si="7"/>
        <v>0</v>
      </c>
      <c r="S59" s="135" t="s">
        <v>357</v>
      </c>
      <c r="T59" s="128"/>
      <c r="U59" s="128"/>
      <c r="V59" s="128"/>
      <c r="W59" s="128"/>
      <c r="Y59" s="4" t="s">
        <v>8</v>
      </c>
      <c r="AE59" s="4" t="str">
        <f t="shared" si="2"/>
        <v>amortissement</v>
      </c>
    </row>
    <row r="60" spans="6:34" x14ac:dyDescent="0.2">
      <c r="F60">
        <v>3</v>
      </c>
      <c r="I60" s="128" t="s">
        <v>180</v>
      </c>
      <c r="J60" s="128"/>
      <c r="K60" s="128" t="s">
        <v>100</v>
      </c>
      <c r="L60" t="s">
        <v>273</v>
      </c>
      <c r="N60" t="s">
        <v>100</v>
      </c>
      <c r="O60" t="str">
        <f t="shared" si="4"/>
        <v>Traitement des jus (clarification)</v>
      </c>
      <c r="P60" t="str">
        <f t="shared" si="7"/>
        <v>CHF/L</v>
      </c>
      <c r="S60" s="132" t="s">
        <v>328</v>
      </c>
      <c r="T60" s="128"/>
      <c r="U60" s="128">
        <f>Variables!T27</f>
        <v>0</v>
      </c>
      <c r="V60" s="132" t="s">
        <v>324</v>
      </c>
      <c r="W60" s="128"/>
      <c r="Y60" t="s">
        <v>76</v>
      </c>
      <c r="AA60">
        <f>[1]Variables!Z19</f>
        <v>0</v>
      </c>
      <c r="AB60" t="s">
        <v>11</v>
      </c>
      <c r="AE60" t="str">
        <f t="shared" si="2"/>
        <v>appareil</v>
      </c>
      <c r="AH60" t="str">
        <f t="shared" si="3"/>
        <v>années</v>
      </c>
    </row>
    <row r="61" spans="6:34" x14ac:dyDescent="0.2">
      <c r="F61">
        <v>3.05</v>
      </c>
      <c r="I61" s="128"/>
      <c r="J61" s="128"/>
      <c r="K61" s="128"/>
      <c r="O61">
        <f t="shared" si="4"/>
        <v>0</v>
      </c>
      <c r="P61">
        <f t="shared" si="7"/>
        <v>0</v>
      </c>
      <c r="S61" s="128"/>
      <c r="T61" s="128"/>
      <c r="U61" s="128"/>
      <c r="V61" s="128"/>
      <c r="W61" s="128"/>
    </row>
    <row r="62" spans="6:34" ht="15" x14ac:dyDescent="0.25">
      <c r="F62">
        <v>3.1</v>
      </c>
      <c r="I62" s="128" t="s">
        <v>199</v>
      </c>
      <c r="J62" s="128"/>
      <c r="K62" s="128" t="s">
        <v>96</v>
      </c>
      <c r="L62" t="s">
        <v>274</v>
      </c>
      <c r="N62" t="s">
        <v>96</v>
      </c>
      <c r="O62" t="str">
        <f t="shared" si="4"/>
        <v xml:space="preserve">Marge pour la gestion des stocks lors de la revente des contant (bouteilles, BiB,…) </v>
      </c>
      <c r="P62" t="str">
        <f t="shared" si="7"/>
        <v>%</v>
      </c>
      <c r="S62" s="135" t="s">
        <v>358</v>
      </c>
      <c r="T62" s="128"/>
      <c r="U62" s="128"/>
      <c r="V62" s="128"/>
      <c r="W62" s="128"/>
      <c r="Y62" s="4" t="s">
        <v>12</v>
      </c>
      <c r="AE62" s="4" t="str">
        <f t="shared" si="2"/>
        <v>Amortissement capital propre</v>
      </c>
    </row>
    <row r="63" spans="6:34" x14ac:dyDescent="0.2">
      <c r="F63">
        <v>3.15</v>
      </c>
      <c r="I63" s="128" t="s">
        <v>198</v>
      </c>
      <c r="J63" s="128"/>
      <c r="K63" s="128" t="s">
        <v>197</v>
      </c>
      <c r="L63" t="s">
        <v>275</v>
      </c>
      <c r="N63" t="s">
        <v>276</v>
      </c>
      <c r="O63" t="str">
        <f t="shared" si="4"/>
        <v xml:space="preserve">Prix de revente conseillé des contant (bouteilles, BiB,…) </v>
      </c>
      <c r="P63" t="str">
        <f t="shared" si="7"/>
        <v>CHF / contenant</v>
      </c>
      <c r="S63" s="140">
        <v>0.6</v>
      </c>
      <c r="T63" s="134" t="s">
        <v>210</v>
      </c>
      <c r="U63" s="128"/>
      <c r="V63" s="140">
        <v>0.03</v>
      </c>
      <c r="W63" s="140"/>
      <c r="Y63" s="104">
        <v>0.6</v>
      </c>
      <c r="Z63" t="s">
        <v>13</v>
      </c>
      <c r="AB63" s="104">
        <v>0.03</v>
      </c>
      <c r="AC63" s="104"/>
      <c r="AE63" s="104"/>
      <c r="AF63" t="str">
        <f t="shared" si="8"/>
        <v xml:space="preserve">du capital à </v>
      </c>
      <c r="AH63">
        <f t="shared" si="3"/>
        <v>0.03</v>
      </c>
    </row>
    <row r="64" spans="6:34" x14ac:dyDescent="0.2">
      <c r="F64">
        <v>3.2</v>
      </c>
      <c r="I64" s="128"/>
      <c r="J64" s="128"/>
      <c r="K64" s="128"/>
      <c r="O64">
        <f t="shared" si="4"/>
        <v>0</v>
      </c>
      <c r="P64">
        <f t="shared" si="7"/>
        <v>0</v>
      </c>
      <c r="S64" s="128"/>
      <c r="T64" s="128"/>
      <c r="U64" s="128"/>
      <c r="V64" s="128"/>
      <c r="W64" s="128"/>
    </row>
    <row r="65" spans="6:35" x14ac:dyDescent="0.2">
      <c r="F65">
        <v>3.25</v>
      </c>
      <c r="I65" s="132" t="s">
        <v>301</v>
      </c>
      <c r="J65" s="128"/>
      <c r="K65" s="128" t="s">
        <v>96</v>
      </c>
      <c r="L65" t="s">
        <v>277</v>
      </c>
      <c r="N65" t="s">
        <v>96</v>
      </c>
      <c r="O65" t="str">
        <f t="shared" si="4"/>
        <v>Divers et administration (gestion de l'entreprise, cotisations pro, concours, assurances, formation, publicité, …)</v>
      </c>
      <c r="P65" t="str">
        <f t="shared" si="7"/>
        <v>%</v>
      </c>
      <c r="S65" s="128"/>
      <c r="T65" s="128"/>
      <c r="U65" s="128"/>
      <c r="V65" s="128"/>
      <c r="W65" s="128"/>
    </row>
    <row r="66" spans="6:35" ht="15" x14ac:dyDescent="0.25">
      <c r="F66">
        <v>3.3</v>
      </c>
      <c r="I66" s="128"/>
      <c r="J66" s="128"/>
      <c r="K66" s="128"/>
      <c r="O66">
        <f t="shared" si="4"/>
        <v>0</v>
      </c>
      <c r="P66">
        <f t="shared" si="7"/>
        <v>0</v>
      </c>
      <c r="S66" s="141" t="s">
        <v>223</v>
      </c>
      <c r="T66" s="135"/>
      <c r="U66" s="135"/>
      <c r="V66" s="135"/>
      <c r="W66" s="135"/>
      <c r="Y66" s="106" t="s">
        <v>57</v>
      </c>
      <c r="Z66" s="4"/>
      <c r="AA66" s="4"/>
      <c r="AB66" s="4"/>
      <c r="AC66" s="4"/>
      <c r="AE66" s="106" t="str">
        <f t="shared" ref="AE66:AE111" si="10">IF($I$1=1,S66,Y66)</f>
        <v>Total coûts fixes pasteurisation</v>
      </c>
    </row>
    <row r="67" spans="6:35" x14ac:dyDescent="0.2">
      <c r="F67">
        <v>3.35</v>
      </c>
      <c r="I67" s="128" t="s">
        <v>161</v>
      </c>
      <c r="J67" s="128"/>
      <c r="K67" s="128" t="s">
        <v>96</v>
      </c>
      <c r="L67" t="s">
        <v>278</v>
      </c>
      <c r="N67" t="s">
        <v>96</v>
      </c>
      <c r="O67" t="str">
        <f t="shared" si="4"/>
        <v>Marge à la vente</v>
      </c>
      <c r="P67" t="str">
        <f t="shared" si="7"/>
        <v>%</v>
      </c>
      <c r="S67" s="132" t="s">
        <v>359</v>
      </c>
      <c r="T67" s="128"/>
      <c r="U67" s="128"/>
      <c r="V67" s="128"/>
      <c r="W67" s="128"/>
      <c r="Y67" t="s">
        <v>77</v>
      </c>
      <c r="AE67" t="str">
        <f t="shared" si="10"/>
        <v>Coûts fixes pasteurisation par litre</v>
      </c>
    </row>
    <row r="68" spans="6:35" x14ac:dyDescent="0.2">
      <c r="F68">
        <v>3.4</v>
      </c>
      <c r="I68" s="128"/>
      <c r="J68" s="128"/>
      <c r="K68" s="128"/>
      <c r="O68">
        <f t="shared" si="4"/>
        <v>0</v>
      </c>
      <c r="S68" s="128"/>
      <c r="T68" s="128"/>
      <c r="U68" s="128"/>
      <c r="V68" s="128"/>
      <c r="W68" s="128"/>
    </row>
    <row r="69" spans="6:35" ht="15.75" x14ac:dyDescent="0.25">
      <c r="F69">
        <v>3.45</v>
      </c>
      <c r="I69" s="128"/>
      <c r="J69" s="128"/>
      <c r="K69" s="128"/>
      <c r="O69">
        <f t="shared" ref="O69:O107" si="11">IF($I$1=1,I69,L69)</f>
        <v>0</v>
      </c>
      <c r="S69" s="139" t="s">
        <v>213</v>
      </c>
      <c r="T69" s="128"/>
      <c r="U69" s="128"/>
      <c r="V69" s="128"/>
      <c r="W69" s="128"/>
      <c r="Y69" s="103" t="s">
        <v>18</v>
      </c>
      <c r="AE69" s="103" t="str">
        <f t="shared" si="10"/>
        <v>Coûts variables</v>
      </c>
    </row>
    <row r="70" spans="6:35" ht="15" x14ac:dyDescent="0.25">
      <c r="F70">
        <v>3.5</v>
      </c>
      <c r="I70" s="128"/>
      <c r="J70" s="128"/>
      <c r="K70" s="128"/>
      <c r="O70">
        <f t="shared" si="11"/>
        <v>0</v>
      </c>
      <c r="S70" s="135" t="s">
        <v>21</v>
      </c>
      <c r="T70" s="130" t="e">
        <f>Variables!T37/Variables!T36</f>
        <v>#DIV/0!</v>
      </c>
      <c r="U70" s="128" t="s">
        <v>39</v>
      </c>
      <c r="V70" s="130" t="e">
        <f>(X53/100*T70)</f>
        <v>#DIV/0!</v>
      </c>
      <c r="W70" s="130" t="s">
        <v>150</v>
      </c>
      <c r="Y70" s="4" t="s">
        <v>21</v>
      </c>
      <c r="Z70" s="108" t="e">
        <f>[1]Variables!Z29/[1]Variables!Z28</f>
        <v>#DIV/0!</v>
      </c>
      <c r="AA70" t="s">
        <v>39</v>
      </c>
      <c r="AB70" s="108" t="e">
        <f>(AD53/100*Z70)</f>
        <v>#DIV/0!</v>
      </c>
      <c r="AC70" s="108" t="s">
        <v>150</v>
      </c>
      <c r="AE70" s="4" t="str">
        <f t="shared" si="10"/>
        <v>Energie</v>
      </c>
      <c r="AF70" t="e">
        <f t="shared" ref="AF70:AF116" si="12">IF($I$1=1,T70,Z70)</f>
        <v>#DIV/0!</v>
      </c>
      <c r="AG70" t="str">
        <f t="shared" ref="AG70:AG84" si="13">IF($I$1=1,U70,AA70)</f>
        <v>kWh / 100l</v>
      </c>
      <c r="AH70" t="e">
        <f t="shared" ref="AH70:AH116" si="14">IF($I$1=1,V70,AB70)</f>
        <v>#DIV/0!</v>
      </c>
      <c r="AI70" t="str">
        <f t="shared" ref="AI70:AI115" si="15">IF($I$1=1,W70,AC70)</f>
        <v>kW</v>
      </c>
    </row>
    <row r="71" spans="6:35" x14ac:dyDescent="0.2">
      <c r="F71">
        <v>3.55</v>
      </c>
      <c r="I71" s="128"/>
      <c r="J71" s="128"/>
      <c r="K71" s="128"/>
      <c r="O71">
        <f t="shared" si="11"/>
        <v>0</v>
      </c>
      <c r="S71" s="132" t="s">
        <v>360</v>
      </c>
      <c r="T71" s="128"/>
      <c r="U71" s="37">
        <f>Variables!T48</f>
        <v>0</v>
      </c>
      <c r="V71" s="134" t="s">
        <v>125</v>
      </c>
      <c r="W71" s="134"/>
      <c r="Y71" s="102" t="s">
        <v>314</v>
      </c>
      <c r="AA71" s="105">
        <f>[1]Variables!Z40</f>
        <v>0</v>
      </c>
      <c r="AB71" s="102" t="s">
        <v>125</v>
      </c>
      <c r="AC71" s="102"/>
      <c r="AE71" s="102" t="str">
        <f t="shared" si="10"/>
        <v>Electricité</v>
      </c>
      <c r="AG71">
        <f t="shared" si="13"/>
        <v>0</v>
      </c>
      <c r="AH71" t="str">
        <f t="shared" si="14"/>
        <v>CHF/kWh</v>
      </c>
    </row>
    <row r="72" spans="6:35" x14ac:dyDescent="0.2">
      <c r="F72">
        <v>3.6</v>
      </c>
      <c r="I72" s="128"/>
      <c r="J72" s="128"/>
      <c r="K72" s="128"/>
      <c r="O72">
        <f t="shared" si="11"/>
        <v>0</v>
      </c>
      <c r="S72" s="132" t="s">
        <v>94</v>
      </c>
      <c r="T72" s="128"/>
      <c r="U72" s="37">
        <f>Variables!T49/10*0.46</f>
        <v>0</v>
      </c>
      <c r="V72" s="134" t="s">
        <v>125</v>
      </c>
      <c r="W72" s="134"/>
      <c r="Y72" s="102" t="s">
        <v>315</v>
      </c>
      <c r="AA72" s="105">
        <f>[1]Variables!Z41/10*0.46</f>
        <v>0</v>
      </c>
      <c r="AB72" s="102" t="s">
        <v>125</v>
      </c>
      <c r="AC72" s="102"/>
      <c r="AE72" s="102" t="str">
        <f t="shared" si="10"/>
        <v>Mazout</v>
      </c>
      <c r="AG72">
        <f t="shared" si="13"/>
        <v>0</v>
      </c>
      <c r="AH72" t="str">
        <f t="shared" si="14"/>
        <v>CHF/kWh</v>
      </c>
    </row>
    <row r="73" spans="6:35" x14ac:dyDescent="0.2">
      <c r="F73">
        <v>3.65</v>
      </c>
      <c r="I73" s="128"/>
      <c r="J73" s="128"/>
      <c r="K73" s="128"/>
      <c r="O73">
        <f t="shared" si="11"/>
        <v>0</v>
      </c>
      <c r="S73" s="137" t="s">
        <v>93</v>
      </c>
      <c r="T73" s="128"/>
      <c r="U73" s="37">
        <f>Variables!T50</f>
        <v>0</v>
      </c>
      <c r="V73" s="134" t="s">
        <v>125</v>
      </c>
      <c r="W73" s="134"/>
      <c r="Y73" s="102" t="s">
        <v>316</v>
      </c>
      <c r="AA73" s="105">
        <f>[1]Variables!Z42</f>
        <v>0</v>
      </c>
      <c r="AB73" s="102" t="s">
        <v>125</v>
      </c>
      <c r="AC73" s="102"/>
      <c r="AE73" s="102" t="str">
        <f t="shared" si="10"/>
        <v>Gaz</v>
      </c>
      <c r="AG73">
        <f t="shared" si="13"/>
        <v>0</v>
      </c>
      <c r="AH73" t="str">
        <f t="shared" si="14"/>
        <v>CHF/kWh</v>
      </c>
    </row>
    <row r="74" spans="6:35" x14ac:dyDescent="0.2">
      <c r="F74">
        <v>3.7</v>
      </c>
      <c r="I74" s="128"/>
      <c r="J74" s="128"/>
      <c r="K74" s="128"/>
      <c r="O74">
        <f t="shared" si="11"/>
        <v>0</v>
      </c>
      <c r="S74" s="128"/>
      <c r="T74" s="128"/>
      <c r="U74" s="143"/>
      <c r="V74" s="128"/>
      <c r="W74" s="128"/>
      <c r="AA74" s="15"/>
      <c r="AG74">
        <f t="shared" si="13"/>
        <v>0</v>
      </c>
    </row>
    <row r="75" spans="6:35" ht="15.75" x14ac:dyDescent="0.25">
      <c r="F75">
        <v>3.75</v>
      </c>
      <c r="I75" s="133" t="s">
        <v>163</v>
      </c>
      <c r="J75" s="128"/>
      <c r="K75" s="128"/>
      <c r="L75" s="76" t="s">
        <v>279</v>
      </c>
      <c r="O75" t="str">
        <f t="shared" si="11"/>
        <v>Coûts de pressage à façon</v>
      </c>
      <c r="S75" s="135" t="s">
        <v>145</v>
      </c>
      <c r="T75" s="134" t="s">
        <v>141</v>
      </c>
      <c r="U75" s="128">
        <f>IF(U55=Feuil1!U1,0.5,0.3)</f>
        <v>0.5</v>
      </c>
      <c r="V75" s="134" t="s">
        <v>121</v>
      </c>
      <c r="W75" s="128">
        <f>X53/1000*$C$75</f>
        <v>0</v>
      </c>
      <c r="Y75" s="4" t="s">
        <v>24</v>
      </c>
      <c r="Z75" s="102" t="s">
        <v>151</v>
      </c>
      <c r="AA75" t="e">
        <f>IF(AA55=[1]Feuil1!#REF!,0.5,0.3)</f>
        <v>#REF!</v>
      </c>
      <c r="AB75" t="s">
        <v>26</v>
      </c>
      <c r="AC75" s="6">
        <f>AD53/1000*$C$82</f>
        <v>0</v>
      </c>
      <c r="AE75" s="4" t="str">
        <f t="shared" si="10"/>
        <v>Entretien</v>
      </c>
      <c r="AF75" t="str">
        <f t="shared" si="12"/>
        <v>Pasteurisateur</v>
      </c>
      <c r="AG75">
        <f t="shared" si="13"/>
        <v>0.5</v>
      </c>
      <c r="AH75" t="str">
        <f t="shared" si="14"/>
        <v>heures / 1000 l</v>
      </c>
    </row>
    <row r="76" spans="6:35" x14ac:dyDescent="0.2">
      <c r="F76">
        <v>3.8</v>
      </c>
      <c r="I76" s="134" t="s">
        <v>173</v>
      </c>
      <c r="J76" s="128"/>
      <c r="K76" s="128"/>
      <c r="L76" s="102" t="s">
        <v>280</v>
      </c>
      <c r="O76" t="str">
        <f t="shared" si="11"/>
        <v>Coût pressage</v>
      </c>
      <c r="S76" s="128"/>
      <c r="T76" s="128"/>
      <c r="U76" s="37">
        <f>Variables!T11</f>
        <v>0</v>
      </c>
      <c r="V76" s="128"/>
      <c r="W76" s="128"/>
      <c r="AA76" s="105">
        <f>[1]Variables!Z3</f>
        <v>0</v>
      </c>
    </row>
    <row r="77" spans="6:35" x14ac:dyDescent="0.2">
      <c r="F77">
        <v>3.85</v>
      </c>
      <c r="I77" s="134" t="s">
        <v>175</v>
      </c>
      <c r="J77" s="128"/>
      <c r="K77" s="128"/>
      <c r="L77" s="102" t="s">
        <v>281</v>
      </c>
      <c r="O77" t="str">
        <f t="shared" si="11"/>
        <v>Coût clarification</v>
      </c>
      <c r="S77" s="128"/>
      <c r="T77" s="128"/>
      <c r="U77" s="128"/>
      <c r="V77" s="128"/>
      <c r="W77" s="128"/>
    </row>
    <row r="78" spans="6:35" ht="15" x14ac:dyDescent="0.25">
      <c r="F78">
        <v>3.9</v>
      </c>
      <c r="I78" s="134" t="s">
        <v>174</v>
      </c>
      <c r="J78" s="128"/>
      <c r="K78" s="128"/>
      <c r="L78" s="102" t="s">
        <v>282</v>
      </c>
      <c r="O78" t="str">
        <f t="shared" si="11"/>
        <v>Coût pasteurisation et remplissage</v>
      </c>
      <c r="S78" s="135" t="s">
        <v>216</v>
      </c>
      <c r="T78" s="128"/>
      <c r="U78" s="140">
        <v>0.05</v>
      </c>
      <c r="V78" s="134" t="s">
        <v>224</v>
      </c>
      <c r="W78" s="128"/>
      <c r="Y78" s="4" t="s">
        <v>27</v>
      </c>
      <c r="AA78" s="104">
        <v>0.05</v>
      </c>
      <c r="AB78" t="s">
        <v>28</v>
      </c>
      <c r="AE78" s="4" t="str">
        <f t="shared" si="10"/>
        <v>Réparation</v>
      </c>
      <c r="AG78">
        <f t="shared" si="13"/>
        <v>0.05</v>
      </c>
      <c r="AH78" t="str">
        <f t="shared" si="14"/>
        <v>du cap. Invest</v>
      </c>
    </row>
    <row r="79" spans="6:35" x14ac:dyDescent="0.2">
      <c r="F79">
        <v>3.95</v>
      </c>
      <c r="I79" s="132" t="s">
        <v>302</v>
      </c>
      <c r="J79" s="128"/>
      <c r="K79" s="128"/>
      <c r="L79" s="102" t="s">
        <v>283</v>
      </c>
      <c r="O79" t="str">
        <f t="shared" si="11"/>
        <v>Coût contenant vendu au prix final</v>
      </c>
      <c r="S79" s="128"/>
      <c r="T79" s="128"/>
      <c r="U79" s="128"/>
      <c r="V79" s="128"/>
      <c r="W79" s="128"/>
    </row>
    <row r="80" spans="6:35" ht="15" x14ac:dyDescent="0.25">
      <c r="F80">
        <v>4</v>
      </c>
      <c r="I80" s="132" t="s">
        <v>303</v>
      </c>
      <c r="J80" s="128"/>
      <c r="K80" s="128"/>
      <c r="L80" s="102" t="s">
        <v>284</v>
      </c>
      <c r="O80" t="str">
        <f t="shared" si="11"/>
        <v>Coût administration et gestion</v>
      </c>
      <c r="S80" s="135" t="s">
        <v>146</v>
      </c>
      <c r="T80" s="134" t="s">
        <v>160</v>
      </c>
      <c r="U80" s="132" t="s">
        <v>361</v>
      </c>
      <c r="V80" s="128"/>
      <c r="W80" s="128"/>
      <c r="Y80" s="4" t="s">
        <v>33</v>
      </c>
      <c r="Z80" s="102" t="s">
        <v>317</v>
      </c>
      <c r="AA80" s="102" t="s">
        <v>318</v>
      </c>
      <c r="AE80" s="4" t="str">
        <f t="shared" si="10"/>
        <v>Travail</v>
      </c>
      <c r="AF80" t="str">
        <f t="shared" si="12"/>
        <v>L/heure</v>
      </c>
      <c r="AG80" t="str">
        <f t="shared" si="13"/>
        <v>besoin en personnel</v>
      </c>
    </row>
    <row r="81" spans="6:35" ht="15" x14ac:dyDescent="0.25">
      <c r="F81">
        <v>4.05</v>
      </c>
      <c r="I81" s="135" t="s">
        <v>171</v>
      </c>
      <c r="J81" s="128"/>
      <c r="K81" s="128"/>
      <c r="L81" s="4" t="s">
        <v>285</v>
      </c>
      <c r="O81" t="str">
        <f t="shared" si="11"/>
        <v xml:space="preserve">Total coût de production jus </v>
      </c>
      <c r="S81" s="134" t="s">
        <v>151</v>
      </c>
      <c r="T81" s="128">
        <f>Variables!T33</f>
        <v>0</v>
      </c>
      <c r="U81" s="128" t="str">
        <f>IF(T81&lt;201,"1",IF(T81&lt;301,1.25,IF(T81&lt;451,1.5,1.5)))</f>
        <v>1</v>
      </c>
      <c r="V81" s="134" t="s">
        <v>152</v>
      </c>
      <c r="W81" s="130" t="e">
        <f>X53/$B81*$C81</f>
        <v>#DIV/0!</v>
      </c>
      <c r="Y81" s="102" t="s">
        <v>151</v>
      </c>
      <c r="Z81">
        <f>[1]Variables!Z25</f>
        <v>0</v>
      </c>
      <c r="AA81" t="str">
        <f>IF(Z81&lt;201,"1",IF(Z81&lt;301,1.25,IF(Z81&lt;451,1.5,1.5)))</f>
        <v>1</v>
      </c>
      <c r="AB81" s="102" t="s">
        <v>319</v>
      </c>
      <c r="AC81" s="111" t="e">
        <f>AD53/$B81*$C81</f>
        <v>#DIV/0!</v>
      </c>
      <c r="AE81" s="102" t="str">
        <f t="shared" si="10"/>
        <v>Pasteur</v>
      </c>
      <c r="AG81" t="str">
        <f t="shared" si="13"/>
        <v>1</v>
      </c>
      <c r="AH81" t="str">
        <f t="shared" si="14"/>
        <v>heurs/x litres</v>
      </c>
      <c r="AI81" t="e">
        <f t="shared" si="15"/>
        <v>#DIV/0!</v>
      </c>
    </row>
    <row r="82" spans="6:35" x14ac:dyDescent="0.2">
      <c r="F82">
        <v>4.0999999999999996</v>
      </c>
      <c r="I82" s="128"/>
      <c r="J82" s="128"/>
      <c r="K82" s="128"/>
      <c r="O82">
        <f t="shared" si="11"/>
        <v>0</v>
      </c>
      <c r="S82" s="128"/>
      <c r="T82" s="128"/>
      <c r="U82" s="37">
        <f>Variables!T11</f>
        <v>0</v>
      </c>
      <c r="V82" s="128"/>
      <c r="W82" s="128"/>
      <c r="AA82" s="105">
        <f>[1]Variables!Z3</f>
        <v>0</v>
      </c>
    </row>
    <row r="83" spans="6:35" x14ac:dyDescent="0.2">
      <c r="F83">
        <v>4.1500000000000004</v>
      </c>
      <c r="I83" s="128"/>
      <c r="J83" s="128"/>
      <c r="K83" s="128"/>
      <c r="O83">
        <f t="shared" si="11"/>
        <v>0</v>
      </c>
      <c r="S83" s="128"/>
      <c r="T83" s="134" t="s">
        <v>187</v>
      </c>
      <c r="U83" s="37"/>
      <c r="V83" s="128"/>
      <c r="W83" s="128"/>
      <c r="Z83" s="102" t="s">
        <v>187</v>
      </c>
      <c r="AA83" s="105"/>
      <c r="AF83" t="str">
        <f t="shared" si="12"/>
        <v>Temps/1000l</v>
      </c>
    </row>
    <row r="84" spans="6:35" x14ac:dyDescent="0.2">
      <c r="F84">
        <v>4.2</v>
      </c>
      <c r="I84" s="128"/>
      <c r="J84" s="128"/>
      <c r="K84" s="128"/>
      <c r="O84">
        <f t="shared" si="11"/>
        <v>0</v>
      </c>
      <c r="S84" s="132" t="s">
        <v>329</v>
      </c>
      <c r="T84" s="128">
        <v>0.6</v>
      </c>
      <c r="U84" s="144" t="s">
        <v>327</v>
      </c>
      <c r="V84" s="128"/>
      <c r="W84" s="128"/>
      <c r="Y84" t="s">
        <v>53</v>
      </c>
      <c r="Z84">
        <v>0.6</v>
      </c>
      <c r="AA84" s="15" t="s">
        <v>52</v>
      </c>
      <c r="AE84" t="str">
        <f t="shared" si="10"/>
        <v>Nettoyage</v>
      </c>
      <c r="AF84">
        <f t="shared" si="12"/>
        <v>0.6</v>
      </c>
      <c r="AG84" t="str">
        <f t="shared" si="13"/>
        <v>heures</v>
      </c>
    </row>
    <row r="85" spans="6:35" x14ac:dyDescent="0.2">
      <c r="F85">
        <v>4.25</v>
      </c>
      <c r="I85" s="134" t="s">
        <v>181</v>
      </c>
      <c r="J85" s="128"/>
      <c r="K85" s="128"/>
      <c r="L85" s="102" t="s">
        <v>286</v>
      </c>
      <c r="O85" t="str">
        <f t="shared" si="11"/>
        <v>Marge sur le contenant</v>
      </c>
      <c r="S85" s="128"/>
      <c r="T85" s="128"/>
      <c r="U85" s="37">
        <f>Variables!T11</f>
        <v>0</v>
      </c>
      <c r="V85" s="128"/>
      <c r="W85" s="128">
        <f>X53/1000*T84</f>
        <v>0</v>
      </c>
      <c r="AA85" s="105">
        <f>[1]Variables!Z3</f>
        <v>0</v>
      </c>
      <c r="AC85" s="6">
        <f>AD53/1000*Z84</f>
        <v>0</v>
      </c>
    </row>
    <row r="86" spans="6:35" x14ac:dyDescent="0.2">
      <c r="F86">
        <v>4.3</v>
      </c>
      <c r="I86" s="128"/>
      <c r="J86" s="128"/>
      <c r="K86" s="128"/>
      <c r="O86">
        <f t="shared" si="11"/>
        <v>0</v>
      </c>
      <c r="S86" s="128"/>
      <c r="T86" s="128"/>
      <c r="U86" s="128"/>
      <c r="V86" s="128"/>
      <c r="W86" s="128"/>
    </row>
    <row r="87" spans="6:35" ht="15" x14ac:dyDescent="0.25">
      <c r="F87">
        <v>4.3499999999999996</v>
      </c>
      <c r="I87" s="128"/>
      <c r="J87" s="128"/>
      <c r="K87" s="128"/>
      <c r="O87">
        <f t="shared" si="11"/>
        <v>0</v>
      </c>
      <c r="S87" s="141" t="s">
        <v>362</v>
      </c>
      <c r="T87" s="135"/>
      <c r="U87" s="135"/>
      <c r="V87" s="135"/>
      <c r="W87" s="135"/>
      <c r="Y87" s="106" t="s">
        <v>74</v>
      </c>
      <c r="Z87" s="4"/>
      <c r="AA87" s="4"/>
      <c r="AB87" s="4"/>
      <c r="AC87" s="4"/>
      <c r="AE87" s="106" t="str">
        <f t="shared" si="10"/>
        <v>Total coûts variables pasteurisation</v>
      </c>
    </row>
    <row r="88" spans="6:35" ht="15.75" x14ac:dyDescent="0.25">
      <c r="F88">
        <v>4.4000000000000004</v>
      </c>
      <c r="I88" s="133" t="s">
        <v>183</v>
      </c>
      <c r="J88" s="128"/>
      <c r="K88" s="128"/>
      <c r="L88" s="76" t="s">
        <v>287</v>
      </c>
      <c r="O88" t="str">
        <f t="shared" si="11"/>
        <v xml:space="preserve">Coûts de production de jus pour la ventre </v>
      </c>
      <c r="S88" s="132" t="s">
        <v>367</v>
      </c>
      <c r="T88" s="128"/>
      <c r="U88" s="128"/>
      <c r="V88" s="128"/>
      <c r="W88" s="128"/>
      <c r="Y88" s="102" t="s">
        <v>368</v>
      </c>
      <c r="AE88" t="str">
        <f t="shared" si="10"/>
        <v>Coûts variables pasteurisation par litre</v>
      </c>
    </row>
    <row r="89" spans="6:35" ht="13.5" thickBot="1" x14ac:dyDescent="0.25">
      <c r="F89">
        <v>4.45</v>
      </c>
      <c r="I89" s="128"/>
      <c r="J89" s="128"/>
      <c r="K89" s="128"/>
      <c r="O89">
        <f t="shared" si="11"/>
        <v>0</v>
      </c>
      <c r="S89" s="128"/>
      <c r="T89" s="128"/>
      <c r="U89" s="128"/>
      <c r="V89" s="128"/>
      <c r="W89" s="128"/>
    </row>
    <row r="90" spans="6:35" ht="15.75" thickBot="1" x14ac:dyDescent="0.3">
      <c r="F90">
        <v>4.5</v>
      </c>
      <c r="I90" s="135" t="s">
        <v>172</v>
      </c>
      <c r="J90" s="128"/>
      <c r="K90" s="128"/>
      <c r="L90" s="4" t="s">
        <v>288</v>
      </c>
      <c r="O90" t="str">
        <f t="shared" si="11"/>
        <v>Total coût de production jus</v>
      </c>
      <c r="S90" s="135" t="s">
        <v>225</v>
      </c>
      <c r="T90" s="135"/>
      <c r="U90" s="135"/>
      <c r="V90" s="135"/>
      <c r="W90" s="135"/>
      <c r="Y90" s="109" t="s">
        <v>55</v>
      </c>
      <c r="Z90" s="110"/>
      <c r="AA90" s="110"/>
      <c r="AB90" s="110"/>
      <c r="AC90" s="110"/>
      <c r="AE90" s="109" t="str">
        <f t="shared" si="10"/>
        <v>Coûts total brut de la pasteurisation</v>
      </c>
    </row>
    <row r="91" spans="6:35" x14ac:dyDescent="0.2">
      <c r="F91">
        <v>4.55</v>
      </c>
      <c r="I91" s="128"/>
      <c r="J91" s="128"/>
      <c r="K91" s="128"/>
      <c r="O91">
        <f t="shared" si="11"/>
        <v>0</v>
      </c>
      <c r="S91" s="136" t="s">
        <v>226</v>
      </c>
      <c r="T91" s="136"/>
      <c r="U91" s="136"/>
      <c r="V91" s="136"/>
      <c r="W91" s="136"/>
      <c r="Y91" s="1" t="s">
        <v>56</v>
      </c>
      <c r="Z91" s="1"/>
      <c r="AA91" s="1"/>
      <c r="AB91" s="1"/>
      <c r="AC91" s="1"/>
      <c r="AE91" s="1" t="str">
        <f t="shared" si="10"/>
        <v>Coûts total brut de la pasteurisation au litre</v>
      </c>
    </row>
    <row r="92" spans="6:35" ht="15.75" thickBot="1" x14ac:dyDescent="0.3">
      <c r="F92">
        <v>4.5999999999999996</v>
      </c>
      <c r="I92" s="135" t="s">
        <v>162</v>
      </c>
      <c r="J92" s="128"/>
      <c r="K92" s="128"/>
      <c r="L92" s="4" t="s">
        <v>289</v>
      </c>
      <c r="O92" t="str">
        <f t="shared" si="11"/>
        <v>Matière première "fruits"</v>
      </c>
      <c r="S92" s="128"/>
      <c r="T92" s="128"/>
      <c r="U92" s="128"/>
      <c r="V92" s="128"/>
      <c r="W92" s="128"/>
    </row>
    <row r="93" spans="6:35" ht="24" thickBot="1" x14ac:dyDescent="0.4">
      <c r="F93">
        <v>4.6500000000000004</v>
      </c>
      <c r="I93" s="128" t="s">
        <v>111</v>
      </c>
      <c r="J93" s="128"/>
      <c r="K93" s="128"/>
      <c r="L93" s="102" t="s">
        <v>243</v>
      </c>
      <c r="O93" t="str">
        <f t="shared" si="11"/>
        <v>Pommes</v>
      </c>
      <c r="S93" s="138" t="s">
        <v>330</v>
      </c>
      <c r="T93" s="128"/>
      <c r="U93" s="128"/>
      <c r="V93" s="128"/>
      <c r="W93" s="128"/>
      <c r="Y93" s="112" t="s">
        <v>58</v>
      </c>
      <c r="Z93" s="113"/>
      <c r="AA93" s="113"/>
      <c r="AE93" s="112" t="str">
        <f t="shared" si="10"/>
        <v>Coûts de production</v>
      </c>
    </row>
    <row r="94" spans="6:35" x14ac:dyDescent="0.2">
      <c r="F94">
        <v>4.7</v>
      </c>
      <c r="I94" s="128" t="s">
        <v>112</v>
      </c>
      <c r="J94" s="128"/>
      <c r="K94" s="128"/>
      <c r="L94" s="102" t="s">
        <v>244</v>
      </c>
      <c r="O94" t="str">
        <f t="shared" si="11"/>
        <v>Poires</v>
      </c>
      <c r="S94" s="128"/>
      <c r="T94" s="128"/>
      <c r="U94" s="128"/>
      <c r="V94" s="128"/>
      <c r="W94" s="128"/>
    </row>
    <row r="95" spans="6:35" x14ac:dyDescent="0.2">
      <c r="F95">
        <v>4.75</v>
      </c>
      <c r="I95" s="128" t="s">
        <v>113</v>
      </c>
      <c r="J95" s="128"/>
      <c r="K95" s="128"/>
      <c r="L95" s="102" t="s">
        <v>245</v>
      </c>
      <c r="O95" t="str">
        <f t="shared" si="11"/>
        <v>Coings</v>
      </c>
      <c r="S95" s="128"/>
      <c r="T95" s="128"/>
      <c r="U95" s="128"/>
      <c r="V95" s="128"/>
      <c r="W95" s="128"/>
    </row>
    <row r="96" spans="6:35" ht="15" x14ac:dyDescent="0.25">
      <c r="F96">
        <v>4.8</v>
      </c>
      <c r="I96" s="128" t="s">
        <v>114</v>
      </c>
      <c r="J96" s="128"/>
      <c r="K96" s="128"/>
      <c r="L96" s="102" t="s">
        <v>246</v>
      </c>
      <c r="O96" t="str">
        <f t="shared" si="11"/>
        <v>Raisin</v>
      </c>
      <c r="S96" s="135" t="s">
        <v>363</v>
      </c>
      <c r="T96" s="135"/>
      <c r="U96" s="135"/>
      <c r="V96" s="135"/>
      <c r="W96" s="135"/>
      <c r="Y96" s="4" t="s">
        <v>331</v>
      </c>
      <c r="Z96" s="4"/>
      <c r="AA96" s="4"/>
      <c r="AB96" s="4"/>
      <c r="AC96" s="4"/>
      <c r="AE96" s="4" t="str">
        <f t="shared" si="10"/>
        <v>1. Coûts total brut au pressoir</v>
      </c>
    </row>
    <row r="97" spans="6:35" x14ac:dyDescent="0.2">
      <c r="F97">
        <v>4.8499999999999996</v>
      </c>
      <c r="I97" s="134" t="s">
        <v>182</v>
      </c>
      <c r="J97" s="128"/>
      <c r="K97" s="128"/>
      <c r="L97" s="102" t="s">
        <v>290</v>
      </c>
      <c r="O97" t="str">
        <f t="shared" si="11"/>
        <v>Rendement</v>
      </c>
      <c r="S97" s="128"/>
      <c r="T97" s="128"/>
      <c r="U97" s="128"/>
      <c r="V97" s="132" t="s">
        <v>340</v>
      </c>
      <c r="W97" s="128"/>
      <c r="AB97" t="s">
        <v>62</v>
      </c>
      <c r="AH97" t="str">
        <f t="shared" si="14"/>
        <v>par Liter</v>
      </c>
    </row>
    <row r="98" spans="6:35" x14ac:dyDescent="0.2">
      <c r="F98">
        <v>4.9000000000000004</v>
      </c>
      <c r="I98" s="128"/>
      <c r="J98" s="128"/>
      <c r="K98" s="128"/>
      <c r="O98">
        <f t="shared" si="11"/>
        <v>0</v>
      </c>
      <c r="S98" s="128"/>
      <c r="T98" s="128"/>
      <c r="U98" s="128"/>
      <c r="V98" s="128"/>
      <c r="W98" s="128"/>
    </row>
    <row r="99" spans="6:35" ht="15" x14ac:dyDescent="0.25">
      <c r="F99">
        <v>4.95</v>
      </c>
      <c r="I99" s="136" t="s">
        <v>203</v>
      </c>
      <c r="J99" s="128"/>
      <c r="K99" s="128"/>
      <c r="L99" s="1" t="s">
        <v>291</v>
      </c>
      <c r="O99" t="str">
        <f t="shared" si="11"/>
        <v>Marge pour la vente du produit fini</v>
      </c>
      <c r="S99" s="135" t="s">
        <v>336</v>
      </c>
      <c r="T99" s="128"/>
      <c r="U99" s="37">
        <f>IF(Variables!T59=0,0,Variables!T59)</f>
        <v>0</v>
      </c>
      <c r="V99" s="132" t="s">
        <v>176</v>
      </c>
      <c r="W99" s="130">
        <f>X99/30/4</f>
        <v>0</v>
      </c>
      <c r="Y99" s="4" t="s">
        <v>332</v>
      </c>
      <c r="AA99" s="105">
        <f>IF([1]Variables!Z51=0,0,[1]Variables!Z51)</f>
        <v>0</v>
      </c>
      <c r="AB99" t="s">
        <v>65</v>
      </c>
      <c r="AC99" s="111">
        <f>AD99/30/4</f>
        <v>0</v>
      </c>
      <c r="AE99" s="4" t="str">
        <f t="shared" si="10"/>
        <v>2. Clarification</v>
      </c>
      <c r="AH99" t="str">
        <f t="shared" si="14"/>
        <v>par litre</v>
      </c>
    </row>
    <row r="100" spans="6:35" x14ac:dyDescent="0.2">
      <c r="F100">
        <v>5</v>
      </c>
      <c r="I100" s="134" t="s">
        <v>202</v>
      </c>
      <c r="J100" s="128"/>
      <c r="K100" s="128"/>
      <c r="L100" s="102" t="s">
        <v>292</v>
      </c>
      <c r="O100" t="str">
        <f t="shared" si="11"/>
        <v>(travail, marketing, local de vente, livraison, etc.)</v>
      </c>
      <c r="S100" s="128"/>
      <c r="T100" s="128"/>
      <c r="U100" s="128"/>
      <c r="V100" s="128"/>
      <c r="W100" s="128"/>
    </row>
    <row r="101" spans="6:35" x14ac:dyDescent="0.2">
      <c r="F101">
        <v>5.05</v>
      </c>
      <c r="I101" s="137"/>
      <c r="J101" s="128"/>
      <c r="K101" s="128"/>
      <c r="O101">
        <f t="shared" si="11"/>
        <v>0</v>
      </c>
      <c r="S101" s="128"/>
      <c r="T101" s="128"/>
      <c r="U101" s="128"/>
      <c r="V101" s="128"/>
      <c r="W101" s="128"/>
    </row>
    <row r="102" spans="6:35" ht="15" x14ac:dyDescent="0.25">
      <c r="F102">
        <v>5.0999999999999996</v>
      </c>
      <c r="I102" s="136" t="s">
        <v>167</v>
      </c>
      <c r="J102" s="128"/>
      <c r="K102" s="128"/>
      <c r="L102" s="1" t="s">
        <v>295</v>
      </c>
      <c r="O102" t="str">
        <f t="shared" si="11"/>
        <v>Total final</v>
      </c>
      <c r="S102" s="135" t="s">
        <v>227</v>
      </c>
      <c r="T102" s="128"/>
      <c r="U102" s="128"/>
      <c r="V102" s="128"/>
      <c r="W102" s="128"/>
      <c r="Y102" s="4" t="s">
        <v>333</v>
      </c>
      <c r="AE102" s="4" t="str">
        <f t="shared" si="10"/>
        <v>3. Coûts total brut de la pasteurisation</v>
      </c>
    </row>
    <row r="103" spans="6:35" x14ac:dyDescent="0.2">
      <c r="F103">
        <v>5.15</v>
      </c>
      <c r="I103" s="128"/>
      <c r="J103" s="128"/>
      <c r="K103" s="128"/>
      <c r="O103">
        <f t="shared" si="11"/>
        <v>0</v>
      </c>
      <c r="S103" s="132" t="s">
        <v>339</v>
      </c>
      <c r="T103" s="128"/>
      <c r="U103" s="128"/>
      <c r="V103" s="132" t="s">
        <v>176</v>
      </c>
      <c r="W103" s="128"/>
      <c r="Y103" t="s">
        <v>78</v>
      </c>
      <c r="AB103" t="s">
        <v>62</v>
      </c>
      <c r="AE103" t="str">
        <f t="shared" si="10"/>
        <v>inclus remplissage</v>
      </c>
      <c r="AH103" t="str">
        <f t="shared" si="14"/>
        <v>par litre</v>
      </c>
    </row>
    <row r="104" spans="6:35" x14ac:dyDescent="0.2">
      <c r="F104">
        <v>5.2</v>
      </c>
      <c r="I104" s="128"/>
      <c r="J104" s="128"/>
      <c r="K104" s="128"/>
      <c r="O104">
        <f t="shared" si="11"/>
        <v>0</v>
      </c>
      <c r="S104" s="128"/>
      <c r="T104" s="128"/>
      <c r="U104" s="128"/>
      <c r="V104" s="128"/>
      <c r="W104" s="128"/>
    </row>
    <row r="105" spans="6:35" ht="15" x14ac:dyDescent="0.25">
      <c r="F105">
        <v>5.25</v>
      </c>
      <c r="I105" s="128"/>
      <c r="J105" s="128"/>
      <c r="K105" s="128"/>
      <c r="O105">
        <f t="shared" si="11"/>
        <v>0</v>
      </c>
      <c r="S105" s="135" t="s">
        <v>337</v>
      </c>
      <c r="T105" s="128"/>
      <c r="U105" s="128"/>
      <c r="V105" s="37">
        <f>Variables!T54</f>
        <v>0</v>
      </c>
      <c r="W105" s="145" t="s">
        <v>159</v>
      </c>
      <c r="Y105" s="4" t="s">
        <v>334</v>
      </c>
      <c r="AB105" s="105">
        <f>[1]Variables!Z46</f>
        <v>0</v>
      </c>
      <c r="AC105" s="105" t="s">
        <v>231</v>
      </c>
      <c r="AE105" s="4" t="str">
        <f t="shared" si="10"/>
        <v>5. Contenant</v>
      </c>
      <c r="AI105" t="str">
        <f t="shared" si="15"/>
        <v>pce</v>
      </c>
    </row>
    <row r="106" spans="6:35" x14ac:dyDescent="0.2">
      <c r="F106">
        <v>5.3</v>
      </c>
      <c r="I106" s="128"/>
      <c r="J106" s="128"/>
      <c r="K106" s="128"/>
      <c r="O106">
        <f t="shared" si="11"/>
        <v>0</v>
      </c>
      <c r="S106" s="128"/>
      <c r="T106" s="128"/>
      <c r="U106" s="128"/>
      <c r="V106" s="132" t="s">
        <v>176</v>
      </c>
      <c r="W106" s="128"/>
      <c r="AB106" t="s">
        <v>62</v>
      </c>
      <c r="AH106" t="str">
        <f t="shared" si="14"/>
        <v>par litre</v>
      </c>
    </row>
    <row r="107" spans="6:35" x14ac:dyDescent="0.2">
      <c r="F107">
        <v>5.35</v>
      </c>
      <c r="I107" s="132" t="s">
        <v>294</v>
      </c>
      <c r="J107" s="128"/>
      <c r="K107" s="128"/>
      <c r="L107" s="102" t="s">
        <v>293</v>
      </c>
      <c r="O107" t="str">
        <f t="shared" si="11"/>
        <v>Prétention de salaire revu par palier de 1.- en plus ou en moins</v>
      </c>
      <c r="S107" s="128"/>
      <c r="T107" s="128"/>
      <c r="U107" s="128"/>
      <c r="V107" s="128"/>
      <c r="W107" s="128"/>
    </row>
    <row r="108" spans="6:35" ht="15" x14ac:dyDescent="0.25">
      <c r="F108">
        <v>5.4</v>
      </c>
      <c r="S108" s="135" t="s">
        <v>338</v>
      </c>
      <c r="T108" s="134"/>
      <c r="U108" s="134"/>
      <c r="V108" s="146">
        <f>Variables!T65/100</f>
        <v>0</v>
      </c>
      <c r="W108" s="131" t="e">
        <f>X108/Variables!T11/2</f>
        <v>#DIV/0!</v>
      </c>
      <c r="Y108" s="4" t="s">
        <v>335</v>
      </c>
      <c r="Z108" s="102"/>
      <c r="AA108" s="102"/>
      <c r="AB108" s="114">
        <f>[1]Variables!Z56/100</f>
        <v>0</v>
      </c>
      <c r="AC108" s="115" t="e">
        <f>AD108/[1]Variables!Z3/2</f>
        <v>#DIV/0!</v>
      </c>
      <c r="AE108" s="4" t="str">
        <f t="shared" si="10"/>
        <v>6. Coûts divers</v>
      </c>
      <c r="AI108" t="e">
        <f t="shared" si="15"/>
        <v>#DIV/0!</v>
      </c>
    </row>
    <row r="109" spans="6:35" x14ac:dyDescent="0.2">
      <c r="F109">
        <v>5.45</v>
      </c>
      <c r="S109" s="132" t="s">
        <v>364</v>
      </c>
      <c r="T109" s="134"/>
      <c r="U109" s="134"/>
      <c r="V109" s="134"/>
      <c r="W109" s="134"/>
      <c r="Y109" s="102" t="s">
        <v>320</v>
      </c>
      <c r="Z109" s="102"/>
      <c r="AA109" s="102"/>
      <c r="AB109" s="102"/>
      <c r="AC109" s="102"/>
      <c r="AE109" s="102" t="str">
        <f t="shared" si="10"/>
        <v>Administration, formation, cottisations pro, concours, publicité, risques ...)</v>
      </c>
    </row>
    <row r="110" spans="6:35" x14ac:dyDescent="0.2">
      <c r="F110">
        <v>5.5</v>
      </c>
      <c r="S110" s="128"/>
      <c r="T110" s="128"/>
      <c r="U110" s="128"/>
      <c r="V110" s="128"/>
      <c r="W110" s="128"/>
    </row>
    <row r="111" spans="6:35" ht="15" x14ac:dyDescent="0.25">
      <c r="F111">
        <v>5.55</v>
      </c>
      <c r="S111" s="135" t="s">
        <v>164</v>
      </c>
      <c r="T111" s="128"/>
      <c r="U111" s="128"/>
      <c r="V111" s="128"/>
      <c r="W111" s="128"/>
      <c r="Y111" s="4" t="s">
        <v>164</v>
      </c>
      <c r="AE111" s="4" t="str">
        <f t="shared" si="10"/>
        <v xml:space="preserve">TOTAL </v>
      </c>
    </row>
    <row r="112" spans="6:35" x14ac:dyDescent="0.2">
      <c r="F112">
        <v>5.6</v>
      </c>
      <c r="S112" s="128"/>
      <c r="T112" s="128"/>
      <c r="U112" s="128"/>
      <c r="V112" s="134" t="s">
        <v>154</v>
      </c>
      <c r="W112" s="128"/>
      <c r="AB112" t="s">
        <v>72</v>
      </c>
      <c r="AH112" t="str">
        <f t="shared" si="14"/>
        <v>Total</v>
      </c>
    </row>
    <row r="113" spans="6:35" x14ac:dyDescent="0.2">
      <c r="F113">
        <v>5.65</v>
      </c>
      <c r="S113" s="128"/>
      <c r="T113" s="128"/>
      <c r="U113" s="128"/>
      <c r="V113" s="134" t="s">
        <v>176</v>
      </c>
      <c r="W113" s="128"/>
      <c r="AB113" t="s">
        <v>62</v>
      </c>
      <c r="AH113" t="str">
        <f t="shared" si="14"/>
        <v>par litre</v>
      </c>
    </row>
    <row r="114" spans="6:35" x14ac:dyDescent="0.2">
      <c r="F114">
        <v>5.7</v>
      </c>
      <c r="S114" s="128"/>
      <c r="T114" s="128"/>
      <c r="U114" s="128"/>
      <c r="V114" s="128"/>
      <c r="W114" s="128"/>
      <c r="AH114">
        <f t="shared" si="14"/>
        <v>0</v>
      </c>
    </row>
    <row r="115" spans="6:35" x14ac:dyDescent="0.2">
      <c r="F115">
        <v>5.75</v>
      </c>
      <c r="S115" s="128"/>
      <c r="T115" s="136" t="s">
        <v>166</v>
      </c>
      <c r="U115" s="128"/>
      <c r="V115" s="128" t="s">
        <v>165</v>
      </c>
      <c r="W115" s="130" t="e">
        <f>W108+W99+W81+W75+W44+W37+W85</f>
        <v>#DIV/0!</v>
      </c>
      <c r="Z115" s="1" t="s">
        <v>321</v>
      </c>
      <c r="AB115" s="102" t="s">
        <v>322</v>
      </c>
      <c r="AC115" s="108" t="e">
        <f>AC108+AC99+AC81+AC75+AC44+AC37+AC85</f>
        <v>#DIV/0!</v>
      </c>
      <c r="AF115" t="str">
        <f t="shared" si="12"/>
        <v>Dont main d'œuvre</v>
      </c>
      <c r="AH115" t="str">
        <f t="shared" si="14"/>
        <v>Total heures</v>
      </c>
      <c r="AI115" t="e">
        <f t="shared" si="15"/>
        <v>#DIV/0!</v>
      </c>
    </row>
    <row r="116" spans="6:35" x14ac:dyDescent="0.2">
      <c r="F116">
        <v>5.8</v>
      </c>
      <c r="S116" s="128"/>
      <c r="T116" s="128"/>
      <c r="U116" s="128"/>
      <c r="V116" s="132" t="s">
        <v>341</v>
      </c>
      <c r="W116" s="128"/>
      <c r="AB116" s="102" t="s">
        <v>62</v>
      </c>
      <c r="AF116">
        <f t="shared" si="12"/>
        <v>0</v>
      </c>
      <c r="AH116" t="str">
        <f t="shared" si="14"/>
        <v>par Litre</v>
      </c>
    </row>
    <row r="117" spans="6:35" x14ac:dyDescent="0.2">
      <c r="F117">
        <v>5.85</v>
      </c>
      <c r="S117" s="128"/>
      <c r="T117" s="128"/>
      <c r="U117" s="128"/>
      <c r="V117" s="128"/>
      <c r="W117" s="128"/>
    </row>
    <row r="118" spans="6:35" x14ac:dyDescent="0.2">
      <c r="F118">
        <v>5.9</v>
      </c>
    </row>
    <row r="119" spans="6:35" x14ac:dyDescent="0.2">
      <c r="F119">
        <v>5.95</v>
      </c>
    </row>
    <row r="120" spans="6:35" x14ac:dyDescent="0.2">
      <c r="F120">
        <v>6</v>
      </c>
    </row>
    <row r="121" spans="6:35" x14ac:dyDescent="0.2">
      <c r="F121">
        <v>6.05</v>
      </c>
    </row>
    <row r="122" spans="6:35" x14ac:dyDescent="0.2">
      <c r="F122">
        <v>6.1</v>
      </c>
    </row>
    <row r="123" spans="6:35" x14ac:dyDescent="0.2">
      <c r="F123">
        <v>6.15</v>
      </c>
    </row>
    <row r="124" spans="6:35" x14ac:dyDescent="0.2">
      <c r="F124">
        <v>6.2</v>
      </c>
    </row>
    <row r="125" spans="6:35" x14ac:dyDescent="0.2">
      <c r="F125">
        <v>6.25</v>
      </c>
    </row>
    <row r="126" spans="6:35" x14ac:dyDescent="0.2">
      <c r="F126">
        <v>6.3</v>
      </c>
    </row>
    <row r="127" spans="6:35" x14ac:dyDescent="0.2">
      <c r="F127">
        <v>6.35</v>
      </c>
    </row>
    <row r="128" spans="6:35" x14ac:dyDescent="0.2">
      <c r="F128">
        <v>6.4</v>
      </c>
    </row>
    <row r="129" spans="6:6" x14ac:dyDescent="0.2">
      <c r="F129">
        <v>6.45</v>
      </c>
    </row>
    <row r="130" spans="6:6" x14ac:dyDescent="0.2">
      <c r="F130">
        <v>6.5</v>
      </c>
    </row>
    <row r="131" spans="6:6" x14ac:dyDescent="0.2">
      <c r="F131">
        <v>6.55</v>
      </c>
    </row>
    <row r="132" spans="6:6" x14ac:dyDescent="0.2">
      <c r="F132">
        <v>6.6</v>
      </c>
    </row>
    <row r="133" spans="6:6" x14ac:dyDescent="0.2">
      <c r="F133">
        <v>6.65</v>
      </c>
    </row>
    <row r="134" spans="6:6" x14ac:dyDescent="0.2">
      <c r="F134">
        <v>6.7</v>
      </c>
    </row>
    <row r="135" spans="6:6" x14ac:dyDescent="0.2">
      <c r="F135">
        <v>6.75</v>
      </c>
    </row>
    <row r="136" spans="6:6" x14ac:dyDescent="0.2">
      <c r="F136">
        <v>6.8</v>
      </c>
    </row>
    <row r="137" spans="6:6" x14ac:dyDescent="0.2">
      <c r="F137">
        <v>6.85</v>
      </c>
    </row>
    <row r="138" spans="6:6" x14ac:dyDescent="0.2">
      <c r="F138">
        <v>6.9</v>
      </c>
    </row>
    <row r="139" spans="6:6" x14ac:dyDescent="0.2">
      <c r="F139">
        <v>6.95</v>
      </c>
    </row>
    <row r="140" spans="6:6" x14ac:dyDescent="0.2">
      <c r="F140">
        <v>7</v>
      </c>
    </row>
    <row r="141" spans="6:6" x14ac:dyDescent="0.2">
      <c r="F141">
        <v>7.05</v>
      </c>
    </row>
    <row r="142" spans="6:6" x14ac:dyDescent="0.2">
      <c r="F142">
        <v>7.1</v>
      </c>
    </row>
    <row r="143" spans="6:6" x14ac:dyDescent="0.2">
      <c r="F143">
        <v>7.15</v>
      </c>
    </row>
    <row r="144" spans="6:6" x14ac:dyDescent="0.2">
      <c r="F144">
        <v>7.2</v>
      </c>
    </row>
    <row r="145" spans="6:6" x14ac:dyDescent="0.2">
      <c r="F145">
        <v>7.25</v>
      </c>
    </row>
    <row r="146" spans="6:6" x14ac:dyDescent="0.2">
      <c r="F146">
        <v>7.3</v>
      </c>
    </row>
    <row r="147" spans="6:6" x14ac:dyDescent="0.2">
      <c r="F147">
        <v>7.35</v>
      </c>
    </row>
    <row r="148" spans="6:6" x14ac:dyDescent="0.2">
      <c r="F148">
        <v>7.4</v>
      </c>
    </row>
    <row r="149" spans="6:6" x14ac:dyDescent="0.2">
      <c r="F149">
        <v>7.45</v>
      </c>
    </row>
    <row r="150" spans="6:6" x14ac:dyDescent="0.2">
      <c r="F150">
        <v>7.5</v>
      </c>
    </row>
    <row r="151" spans="6:6" x14ac:dyDescent="0.2">
      <c r="F151">
        <v>7.55</v>
      </c>
    </row>
    <row r="152" spans="6:6" x14ac:dyDescent="0.2">
      <c r="F152">
        <v>7.6</v>
      </c>
    </row>
    <row r="153" spans="6:6" x14ac:dyDescent="0.2">
      <c r="F153">
        <v>7.65</v>
      </c>
    </row>
    <row r="154" spans="6:6" x14ac:dyDescent="0.2">
      <c r="F154">
        <v>7.7</v>
      </c>
    </row>
    <row r="155" spans="6:6" x14ac:dyDescent="0.2">
      <c r="F155">
        <v>7.75</v>
      </c>
    </row>
    <row r="156" spans="6:6" x14ac:dyDescent="0.2">
      <c r="F156">
        <v>7.8</v>
      </c>
    </row>
    <row r="157" spans="6:6" x14ac:dyDescent="0.2">
      <c r="F157">
        <v>7.85</v>
      </c>
    </row>
    <row r="158" spans="6:6" x14ac:dyDescent="0.2">
      <c r="F158">
        <v>7.9</v>
      </c>
    </row>
    <row r="159" spans="6:6" x14ac:dyDescent="0.2">
      <c r="F159">
        <v>7.95</v>
      </c>
    </row>
    <row r="160" spans="6:6" x14ac:dyDescent="0.2">
      <c r="F160">
        <v>8</v>
      </c>
    </row>
    <row r="161" spans="6:6" x14ac:dyDescent="0.2">
      <c r="F161">
        <v>8.0500000000000007</v>
      </c>
    </row>
    <row r="162" spans="6:6" x14ac:dyDescent="0.2">
      <c r="F162">
        <v>8.1</v>
      </c>
    </row>
    <row r="163" spans="6:6" x14ac:dyDescent="0.2">
      <c r="F163">
        <v>8.15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Variables</vt:lpstr>
      <vt:lpstr>Résultats-ergebnis</vt:lpstr>
      <vt:lpstr>Calculateur</vt:lpstr>
      <vt:lpstr>Pressage</vt:lpstr>
      <vt:lpstr>Pasteurisation</vt:lpstr>
      <vt:lpstr>Conditionnement</vt:lpstr>
      <vt:lpstr>Vente</vt:lpstr>
      <vt:lpstr>Feuil1</vt:lpstr>
      <vt:lpstr>Calculateur!Zone_d_impression</vt:lpstr>
      <vt:lpstr>'Résultats-ergebnis'!Zone_d_impression</vt:lpstr>
      <vt:lpstr>Variables!Zone_d_impression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Kopp-Olsen</dc:creator>
  <cp:lastModifiedBy>Victor Egger</cp:lastModifiedBy>
  <cp:lastPrinted>2022-06-03T13:33:46Z</cp:lastPrinted>
  <dcterms:created xsi:type="dcterms:W3CDTF">2002-09-08T18:39:34Z</dcterms:created>
  <dcterms:modified xsi:type="dcterms:W3CDTF">2022-06-07T13:53:24Z</dcterms:modified>
</cp:coreProperties>
</file>